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filterPrivacy="1"/>
  <xr:revisionPtr revIDLastSave="0" documentId="13_ncr:1_{029121DB-44A7-4716-9563-6D2D639DAC72}" xr6:coauthVersionLast="36" xr6:coauthVersionMax="36" xr10:uidLastSave="{00000000-0000-0000-0000-000000000000}"/>
  <bookViews>
    <workbookView xWindow="0" yWindow="0" windowWidth="24000" windowHeight="9405" firstSheet="9" activeTab="15" xr2:uid="{00000000-000D-0000-FFFF-FFFF00000000}"/>
  </bookViews>
  <sheets>
    <sheet name="Annexure 3.1" sheetId="4" r:id="rId1"/>
    <sheet name="Annexure 3.2" sheetId="5" r:id="rId2"/>
    <sheet name="Annexure 3.3" sheetId="6" r:id="rId3"/>
    <sheet name="Annexure 3.4" sheetId="7" r:id="rId4"/>
    <sheet name="Annexure 3.5" sheetId="8" r:id="rId5"/>
    <sheet name="Annexure 3.6" sheetId="9" r:id="rId6"/>
    <sheet name="Annexure 3.7" sheetId="10" r:id="rId7"/>
    <sheet name="Annexure 3.8" sheetId="11" r:id="rId8"/>
    <sheet name="Annexure 3.9" sheetId="12" r:id="rId9"/>
    <sheet name="Annexure 3.10" sheetId="13" r:id="rId10"/>
    <sheet name="Annexure 3.11" sheetId="14" r:id="rId11"/>
    <sheet name="Annexure 3.12" sheetId="15" r:id="rId12"/>
    <sheet name="Annexure 3.13" sheetId="16" r:id="rId13"/>
    <sheet name="Annexure 3.14" sheetId="18" r:id="rId14"/>
    <sheet name="Annexure 3.15" sheetId="1" r:id="rId15"/>
    <sheet name="Annexure 3.16" sheetId="2" r:id="rId16"/>
  </sheets>
  <definedNames>
    <definedName name="_xlnm.Print_Area" localSheetId="9">'Annexure 3.10'!$A$1:$Q$22</definedName>
    <definedName name="_xlnm.Print_Area" localSheetId="11">'Annexure 3.12'!$A$1:$Q$19</definedName>
    <definedName name="_xlnm.Print_Area" localSheetId="14">'Annexure 3.15'!$A$1:$G$28</definedName>
    <definedName name="_xlnm.Print_Area" localSheetId="1">'Annexure 3.2'!$A$1:$Q$19</definedName>
    <definedName name="_xlnm.Print_Area" localSheetId="3">'Annexure 3.4'!$A$1:$Q$22</definedName>
    <definedName name="_xlnm.Print_Area" localSheetId="5">'Annexure 3.6'!$A$1:$Q$22</definedName>
    <definedName name="_xlnm.Print_Area" localSheetId="7">'Annexure 3.8'!$A$1:$Q$22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5" l="1"/>
  <c r="H15" i="15" l="1"/>
  <c r="H14" i="15"/>
  <c r="H13" i="15"/>
  <c r="H15" i="7"/>
  <c r="L13" i="7"/>
  <c r="E22" i="1" l="1"/>
  <c r="E14" i="1"/>
  <c r="E6" i="1"/>
  <c r="D6" i="1"/>
  <c r="E10" i="1"/>
  <c r="E18" i="1"/>
  <c r="E26" i="1"/>
  <c r="E7" i="1"/>
  <c r="E11" i="1"/>
  <c r="E5" i="1"/>
  <c r="E13" i="1"/>
  <c r="E21" i="1"/>
  <c r="E8" i="1"/>
  <c r="E16" i="1"/>
  <c r="E24" i="1"/>
  <c r="L23" i="2"/>
  <c r="M23" i="2"/>
  <c r="N23" i="2"/>
  <c r="O23" i="2"/>
  <c r="P23" i="2"/>
  <c r="L24" i="2"/>
  <c r="M24" i="2"/>
  <c r="N24" i="2"/>
  <c r="O24" i="2"/>
  <c r="P24" i="2"/>
  <c r="L25" i="2"/>
  <c r="M25" i="2"/>
  <c r="N25" i="2"/>
  <c r="O25" i="2"/>
  <c r="P25" i="2"/>
  <c r="L26" i="2"/>
  <c r="M26" i="2"/>
  <c r="N26" i="2"/>
  <c r="O26" i="2"/>
  <c r="P26" i="2"/>
  <c r="L27" i="2"/>
  <c r="M27" i="2"/>
  <c r="N27" i="2"/>
  <c r="O27" i="2"/>
  <c r="P27" i="2"/>
  <c r="M22" i="2"/>
  <c r="N22" i="2"/>
  <c r="O22" i="2"/>
  <c r="P22" i="2"/>
  <c r="L22" i="2"/>
  <c r="L15" i="2"/>
  <c r="M15" i="2"/>
  <c r="N15" i="2"/>
  <c r="O15" i="2"/>
  <c r="P15" i="2"/>
  <c r="L16" i="2"/>
  <c r="M16" i="2"/>
  <c r="N16" i="2"/>
  <c r="O16" i="2"/>
  <c r="P16" i="2"/>
  <c r="L17" i="2"/>
  <c r="M17" i="2"/>
  <c r="N17" i="2"/>
  <c r="O17" i="2"/>
  <c r="P17" i="2"/>
  <c r="L18" i="2"/>
  <c r="M18" i="2"/>
  <c r="N18" i="2"/>
  <c r="O18" i="2"/>
  <c r="P18" i="2"/>
  <c r="L19" i="2"/>
  <c r="M19" i="2"/>
  <c r="N19" i="2"/>
  <c r="O19" i="2"/>
  <c r="P19" i="2"/>
  <c r="L20" i="2"/>
  <c r="M20" i="2"/>
  <c r="N20" i="2"/>
  <c r="O20" i="2"/>
  <c r="P20" i="2"/>
  <c r="L14" i="2"/>
  <c r="M14" i="2"/>
  <c r="P14" i="2"/>
  <c r="O14" i="2"/>
  <c r="N14" i="2"/>
  <c r="L7" i="2"/>
  <c r="M7" i="2"/>
  <c r="N7" i="2"/>
  <c r="O7" i="2"/>
  <c r="P7" i="2"/>
  <c r="L8" i="2"/>
  <c r="M8" i="2"/>
  <c r="N8" i="2"/>
  <c r="O8" i="2"/>
  <c r="P8" i="2"/>
  <c r="L9" i="2"/>
  <c r="M9" i="2"/>
  <c r="N9" i="2"/>
  <c r="O9" i="2"/>
  <c r="P9" i="2"/>
  <c r="L10" i="2"/>
  <c r="M10" i="2"/>
  <c r="N10" i="2"/>
  <c r="O10" i="2"/>
  <c r="P10" i="2"/>
  <c r="L11" i="2"/>
  <c r="M11" i="2"/>
  <c r="N11" i="2"/>
  <c r="O11" i="2"/>
  <c r="P11" i="2"/>
  <c r="L12" i="2"/>
  <c r="M12" i="2"/>
  <c r="N12" i="2"/>
  <c r="O12" i="2"/>
  <c r="P12" i="2"/>
  <c r="M6" i="2"/>
  <c r="N6" i="2"/>
  <c r="O6" i="2"/>
  <c r="P6" i="2"/>
  <c r="L6" i="2"/>
  <c r="J28" i="2" l="1"/>
  <c r="J23" i="2"/>
  <c r="Q23" i="2" s="1"/>
  <c r="J24" i="2"/>
  <c r="Q24" i="2" s="1"/>
  <c r="J25" i="2"/>
  <c r="Q25" i="2" s="1"/>
  <c r="J26" i="2"/>
  <c r="Q26" i="2" s="1"/>
  <c r="J27" i="2"/>
  <c r="Q27" i="2" s="1"/>
  <c r="J22" i="2"/>
  <c r="Q22" i="2" s="1"/>
  <c r="J15" i="2"/>
  <c r="Q15" i="2" s="1"/>
  <c r="J16" i="2"/>
  <c r="Q16" i="2" s="1"/>
  <c r="J17" i="2"/>
  <c r="Q17" i="2" s="1"/>
  <c r="J18" i="2"/>
  <c r="Q18" i="2" s="1"/>
  <c r="J19" i="2"/>
  <c r="Q19" i="2" s="1"/>
  <c r="J20" i="2"/>
  <c r="Q20" i="2" s="1"/>
  <c r="J14" i="2"/>
  <c r="Q14" i="2" s="1"/>
  <c r="J6" i="2"/>
  <c r="Q6" i="2" s="1"/>
  <c r="J7" i="2"/>
  <c r="Q7" i="2" s="1"/>
  <c r="J8" i="2"/>
  <c r="Q8" i="2" s="1"/>
  <c r="J9" i="2"/>
  <c r="Q9" i="2" s="1"/>
  <c r="J10" i="2"/>
  <c r="Q10" i="2" s="1"/>
  <c r="J11" i="2"/>
  <c r="Q11" i="2" s="1"/>
  <c r="J12" i="2"/>
  <c r="Q12" i="2" s="1"/>
  <c r="D10" i="1" l="1"/>
  <c r="D18" i="1"/>
  <c r="D26" i="1"/>
  <c r="E9" i="1"/>
  <c r="E17" i="1"/>
  <c r="E25" i="1"/>
  <c r="D9" i="1"/>
  <c r="H15" i="18" l="1"/>
  <c r="H14" i="18"/>
  <c r="H13" i="18"/>
  <c r="H15" i="11"/>
  <c r="H14" i="11"/>
  <c r="H13" i="11"/>
  <c r="H14" i="7"/>
  <c r="H13" i="7"/>
  <c r="L9" i="5"/>
  <c r="L8" i="5"/>
  <c r="L7" i="5"/>
  <c r="Q21" i="18" l="1"/>
  <c r="Q20" i="18"/>
  <c r="Q19" i="18"/>
  <c r="Q18" i="18"/>
  <c r="Q17" i="18"/>
  <c r="Q16" i="18"/>
  <c r="Q15" i="18"/>
  <c r="Q14" i="18"/>
  <c r="Q13" i="18"/>
  <c r="Q12" i="18"/>
  <c r="Q11" i="18"/>
  <c r="Q10" i="18"/>
  <c r="Q9" i="18"/>
  <c r="Q8" i="18"/>
  <c r="Q7" i="18"/>
  <c r="K20" i="16"/>
  <c r="K19" i="16"/>
  <c r="K18" i="16"/>
  <c r="K17" i="16"/>
  <c r="K16" i="16"/>
  <c r="K14" i="16"/>
  <c r="K13" i="16"/>
  <c r="K12" i="16"/>
  <c r="K8" i="16"/>
  <c r="K7" i="16"/>
  <c r="K6" i="16"/>
  <c r="K9" i="16" l="1"/>
  <c r="K10" i="16"/>
  <c r="K11" i="16"/>
  <c r="Q18" i="15" l="1"/>
  <c r="Q17" i="15"/>
  <c r="Q16" i="15"/>
  <c r="Q15" i="15"/>
  <c r="Q14" i="15"/>
  <c r="Q13" i="15"/>
  <c r="Q12" i="15"/>
  <c r="Q11" i="15"/>
  <c r="Q10" i="15"/>
  <c r="Q8" i="15"/>
  <c r="Q7" i="15"/>
  <c r="K17" i="14"/>
  <c r="K16" i="14"/>
  <c r="K15" i="14"/>
  <c r="K14" i="14"/>
  <c r="K13" i="14"/>
  <c r="K12" i="14"/>
  <c r="K7" i="14" l="1"/>
  <c r="K10" i="14"/>
  <c r="Q9" i="15"/>
  <c r="K8" i="14"/>
  <c r="K9" i="14"/>
  <c r="K11" i="14"/>
  <c r="K6" i="14"/>
  <c r="M21" i="13" l="1"/>
  <c r="G21" i="13"/>
  <c r="F21" i="13"/>
  <c r="D21" i="13"/>
  <c r="D20" i="13"/>
  <c r="G20" i="13" s="1"/>
  <c r="Q20" i="13" s="1"/>
  <c r="E19" i="13"/>
  <c r="Q19" i="13" s="1"/>
  <c r="Q18" i="13"/>
  <c r="Q17" i="13"/>
  <c r="Q16" i="13"/>
  <c r="G15" i="13"/>
  <c r="D15" i="13"/>
  <c r="Q15" i="13" s="1"/>
  <c r="G14" i="13"/>
  <c r="D14" i="13"/>
  <c r="G13" i="13"/>
  <c r="D13" i="13"/>
  <c r="P12" i="13"/>
  <c r="H12" i="13"/>
  <c r="F12" i="13"/>
  <c r="P11" i="13"/>
  <c r="H11" i="13"/>
  <c r="F11" i="13"/>
  <c r="P10" i="13"/>
  <c r="H10" i="13"/>
  <c r="P9" i="13"/>
  <c r="N9" i="13"/>
  <c r="M9" i="13"/>
  <c r="E9" i="13"/>
  <c r="D9" i="13"/>
  <c r="P8" i="13"/>
  <c r="N8" i="13"/>
  <c r="E8" i="13"/>
  <c r="P7" i="13"/>
  <c r="N7" i="13"/>
  <c r="E7" i="13"/>
  <c r="F20" i="12"/>
  <c r="D20" i="12"/>
  <c r="F19" i="12"/>
  <c r="D19" i="12"/>
  <c r="F18" i="12"/>
  <c r="D18" i="12"/>
  <c r="E17" i="12"/>
  <c r="J17" i="12" s="1"/>
  <c r="E16" i="12"/>
  <c r="J16" i="12" s="1"/>
  <c r="E15" i="12"/>
  <c r="J15" i="12" s="1"/>
  <c r="J14" i="12"/>
  <c r="J13" i="12"/>
  <c r="E12" i="12"/>
  <c r="J12" i="12" s="1"/>
  <c r="E11" i="12"/>
  <c r="J11" i="12" s="1"/>
  <c r="E10" i="12"/>
  <c r="J10" i="12" s="1"/>
  <c r="E9" i="12"/>
  <c r="J9" i="12" s="1"/>
  <c r="F8" i="12"/>
  <c r="D8" i="12"/>
  <c r="F7" i="12"/>
  <c r="D7" i="12"/>
  <c r="F6" i="12"/>
  <c r="D6" i="12"/>
  <c r="Q12" i="13" l="1"/>
  <c r="Q14" i="13"/>
  <c r="Q21" i="13"/>
  <c r="Q13" i="13"/>
  <c r="Q9" i="13"/>
  <c r="Q11" i="13"/>
  <c r="J19" i="12"/>
  <c r="J6" i="12"/>
  <c r="J20" i="12"/>
  <c r="J7" i="12"/>
  <c r="Q7" i="13"/>
  <c r="Q10" i="13"/>
  <c r="Q8" i="13"/>
  <c r="J18" i="12"/>
  <c r="J8" i="12"/>
  <c r="Q20" i="11" l="1"/>
  <c r="Q19" i="11"/>
  <c r="Q18" i="11"/>
  <c r="Q17" i="11"/>
  <c r="Q16" i="11"/>
  <c r="Q15" i="11"/>
  <c r="Q14" i="11"/>
  <c r="Q13" i="11"/>
  <c r="Q12" i="11"/>
  <c r="Q11" i="11"/>
  <c r="Q9" i="11"/>
  <c r="Q8" i="11"/>
  <c r="Q7" i="11"/>
  <c r="K20" i="10"/>
  <c r="K19" i="10"/>
  <c r="K18" i="10"/>
  <c r="K17" i="10"/>
  <c r="K16" i="10"/>
  <c r="K15" i="10"/>
  <c r="K14" i="10"/>
  <c r="K12" i="10"/>
  <c r="K11" i="10"/>
  <c r="K10" i="10"/>
  <c r="K9" i="10"/>
  <c r="K7" i="10"/>
  <c r="K6" i="10"/>
  <c r="Q10" i="11" l="1"/>
  <c r="K13" i="10"/>
  <c r="K8" i="10"/>
  <c r="Q21" i="11" l="1"/>
  <c r="Q21" i="9" l="1"/>
  <c r="Q20" i="9"/>
  <c r="Q19" i="9"/>
  <c r="Q18" i="9"/>
  <c r="Q17" i="9"/>
  <c r="Q15" i="9"/>
  <c r="Q14" i="9"/>
  <c r="Q13" i="9"/>
  <c r="Q12" i="9"/>
  <c r="Q11" i="9"/>
  <c r="Q10" i="9"/>
  <c r="Q9" i="9"/>
  <c r="Q7" i="9"/>
  <c r="K20" i="8"/>
  <c r="K19" i="8"/>
  <c r="K18" i="8"/>
  <c r="K17" i="8"/>
  <c r="K16" i="8"/>
  <c r="K15" i="8"/>
  <c r="K12" i="8"/>
  <c r="K10" i="8"/>
  <c r="K7" i="8"/>
  <c r="K6" i="8" l="1"/>
  <c r="Q8" i="9"/>
  <c r="Q16" i="9"/>
  <c r="K8" i="8"/>
  <c r="K14" i="8"/>
  <c r="K13" i="8"/>
  <c r="K9" i="8"/>
  <c r="K11" i="8"/>
  <c r="Q18" i="7" l="1"/>
  <c r="Q21" i="7"/>
  <c r="Q20" i="7"/>
  <c r="Q19" i="7"/>
  <c r="Q17" i="7"/>
  <c r="Q16" i="7"/>
  <c r="Q15" i="7"/>
  <c r="Q13" i="7"/>
  <c r="Q12" i="7"/>
  <c r="Q11" i="7"/>
  <c r="Q10" i="7"/>
  <c r="Q9" i="7"/>
  <c r="Q8" i="7"/>
  <c r="Q7" i="7"/>
  <c r="K20" i="6"/>
  <c r="K19" i="6"/>
  <c r="K18" i="6"/>
  <c r="K17" i="6"/>
  <c r="K16" i="6"/>
  <c r="K15" i="6"/>
  <c r="K14" i="6"/>
  <c r="K13" i="6"/>
  <c r="K12" i="6"/>
  <c r="K10" i="6"/>
  <c r="K7" i="6"/>
  <c r="Q14" i="7" l="1"/>
  <c r="K9" i="6"/>
  <c r="K11" i="6"/>
  <c r="K6" i="6"/>
  <c r="K8" i="6" l="1"/>
  <c r="G18" i="5" l="1"/>
  <c r="Q18" i="5" s="1"/>
  <c r="G17" i="5"/>
  <c r="Q17" i="5" s="1"/>
  <c r="G16" i="5"/>
  <c r="Q16" i="5" s="1"/>
  <c r="M15" i="5"/>
  <c r="Q14" i="5"/>
  <c r="M13" i="5"/>
  <c r="G12" i="5"/>
  <c r="F12" i="5"/>
  <c r="D12" i="5"/>
  <c r="G11" i="5"/>
  <c r="F11" i="5"/>
  <c r="D11" i="5"/>
  <c r="G10" i="5"/>
  <c r="F10" i="5"/>
  <c r="D10" i="5"/>
  <c r="K9" i="5"/>
  <c r="D9" i="5"/>
  <c r="K8" i="5"/>
  <c r="D8" i="5"/>
  <c r="K7" i="5"/>
  <c r="E17" i="4"/>
  <c r="K17" i="4" s="1"/>
  <c r="E16" i="4"/>
  <c r="K16" i="4" s="1"/>
  <c r="E15" i="4"/>
  <c r="K15" i="4" s="1"/>
  <c r="E14" i="4"/>
  <c r="K14" i="4" s="1"/>
  <c r="E13" i="4"/>
  <c r="K13" i="4" s="1"/>
  <c r="E12" i="4"/>
  <c r="K12" i="4" s="1"/>
  <c r="E11" i="4"/>
  <c r="K11" i="4" s="1"/>
  <c r="E10" i="4"/>
  <c r="K10" i="4" s="1"/>
  <c r="E9" i="4"/>
  <c r="F8" i="4"/>
  <c r="D8" i="4"/>
  <c r="F7" i="4"/>
  <c r="D7" i="4"/>
  <c r="K7" i="4" s="1"/>
  <c r="F6" i="4"/>
  <c r="D6" i="4"/>
  <c r="Q8" i="5" l="1"/>
  <c r="Q11" i="5"/>
  <c r="Q10" i="5"/>
  <c r="Q12" i="5"/>
  <c r="Q9" i="5"/>
  <c r="Q7" i="5"/>
  <c r="K8" i="4"/>
  <c r="K6" i="4"/>
  <c r="Q13" i="5"/>
  <c r="Q15" i="5"/>
  <c r="K9" i="4"/>
  <c r="K23" i="2" l="1"/>
  <c r="K24" i="2"/>
  <c r="K25" i="2"/>
  <c r="K26" i="2"/>
  <c r="K27" i="2"/>
  <c r="K22" i="2"/>
  <c r="K15" i="2"/>
  <c r="K16" i="2"/>
  <c r="K17" i="2"/>
  <c r="K18" i="2"/>
  <c r="K19" i="2"/>
  <c r="K14" i="2"/>
  <c r="K7" i="2"/>
  <c r="K8" i="2"/>
  <c r="K9" i="2"/>
  <c r="K10" i="2"/>
  <c r="K11" i="2"/>
  <c r="K12" i="2"/>
  <c r="K6" i="2"/>
  <c r="G24" i="1"/>
  <c r="G16" i="1"/>
  <c r="D16" i="1"/>
  <c r="F16" i="1" s="1"/>
  <c r="D24" i="1"/>
  <c r="F24" i="1" s="1"/>
  <c r="D13" i="1"/>
  <c r="F13" i="1" s="1"/>
  <c r="D21" i="1"/>
  <c r="F21" i="1" s="1"/>
  <c r="D19" i="1"/>
  <c r="F19" i="1" s="1"/>
  <c r="D27" i="1"/>
  <c r="F27" i="1" s="1"/>
  <c r="D23" i="1"/>
  <c r="F23" i="1" s="1"/>
  <c r="D15" i="1"/>
  <c r="F15" i="1" s="1"/>
  <c r="G18" i="1"/>
  <c r="G26" i="1"/>
  <c r="F18" i="1"/>
  <c r="F26" i="1"/>
  <c r="G14" i="1"/>
  <c r="G22" i="1"/>
  <c r="G17" i="1"/>
  <c r="G25" i="1"/>
  <c r="D22" i="1"/>
  <c r="F22" i="1" s="1"/>
  <c r="D25" i="1"/>
  <c r="F25" i="1" s="1"/>
  <c r="D14" i="1"/>
  <c r="F14" i="1" s="1"/>
  <c r="D17" i="1"/>
  <c r="F17" i="1" s="1"/>
  <c r="G27" i="1"/>
  <c r="G23" i="1"/>
  <c r="G21" i="1"/>
  <c r="G19" i="1"/>
  <c r="G15" i="1"/>
  <c r="G13" i="1"/>
  <c r="G11" i="1"/>
  <c r="G6" i="1"/>
  <c r="G7" i="1"/>
  <c r="G8" i="1"/>
  <c r="F9" i="1"/>
  <c r="G10" i="1"/>
  <c r="G5" i="1"/>
  <c r="G9" i="1"/>
  <c r="D7" i="1"/>
  <c r="F7" i="1" s="1"/>
  <c r="D5" i="1"/>
  <c r="F5" i="1" s="1"/>
  <c r="D8" i="1"/>
  <c r="F8" i="1" s="1"/>
  <c r="D11" i="1"/>
  <c r="F11" i="1" s="1"/>
  <c r="F10" i="1"/>
  <c r="F6" i="1"/>
</calcChain>
</file>

<file path=xl/sharedStrings.xml><?xml version="1.0" encoding="utf-8"?>
<sst xmlns="http://schemas.openxmlformats.org/spreadsheetml/2006/main" count="614" uniqueCount="108">
  <si>
    <t>S. No.</t>
  </si>
  <si>
    <t>Name of States/UTs</t>
  </si>
  <si>
    <t>Total Municipal Solid Waste Collected (%)</t>
  </si>
  <si>
    <t>Total Municipal Solid Waste Managed in Controlled Facilities (%)</t>
  </si>
  <si>
    <t>Rajasthan</t>
  </si>
  <si>
    <t>Gujarat</t>
  </si>
  <si>
    <t>Maharashtra</t>
  </si>
  <si>
    <t>Tamil Nadu</t>
  </si>
  <si>
    <t>Chandigarh</t>
  </si>
  <si>
    <t>Jammu &amp; Kashmir</t>
  </si>
  <si>
    <t>Mizoram</t>
  </si>
  <si>
    <t>Total Municipal Solid Waste Generated (Tonnes)</t>
  </si>
  <si>
    <t>Total Municipal Solid Waste Collected (Tonnes)</t>
  </si>
  <si>
    <t>Total Municipal Solid Waste Managed in Controlled Facilities (Tonnes)</t>
  </si>
  <si>
    <t>2020-2021</t>
  </si>
  <si>
    <t>2019-2020</t>
  </si>
  <si>
    <t>2018-19</t>
  </si>
  <si>
    <t>Global SDG Indicator 12.4.2: (a) Hazardous waste generated per capita; and (b) proportion of hazardous waste treated, by type of treatment.</t>
  </si>
  <si>
    <t>Total Hazardous  Waste Generated (Tonnes)</t>
  </si>
  <si>
    <t>Mid Year Projected Population</t>
  </si>
  <si>
    <t>Sanitary Landfill</t>
  </si>
  <si>
    <t>Incineration</t>
  </si>
  <si>
    <t>Recycling</t>
  </si>
  <si>
    <t>Reuse</t>
  </si>
  <si>
    <t>Total</t>
  </si>
  <si>
    <t>Total Hazardous Waste  Treated  by Type of Treatment                                               (Tonnes)</t>
  </si>
  <si>
    <t>Hazardous Waste Generated Per Capita (Tonnes)</t>
  </si>
  <si>
    <t>Total Hazardous Waste  Treated  by Type of Treatment                                                        (%)</t>
  </si>
  <si>
    <t>Annexure 3.15</t>
  </si>
  <si>
    <t>Annexure 3.16</t>
  </si>
  <si>
    <t>Global SDG Indicator 11.6.1: Proportion of municipal solid waste collected and managed in controlled facilities out of total municipal waste generated</t>
  </si>
  <si>
    <t>Generation of Solid Waste during the year</t>
  </si>
  <si>
    <t>Waste Category</t>
  </si>
  <si>
    <t>Year</t>
  </si>
  <si>
    <t>Households</t>
  </si>
  <si>
    <t>Industry</t>
  </si>
  <si>
    <t>Imports</t>
  </si>
  <si>
    <t>From the Environment</t>
  </si>
  <si>
    <t>Others*</t>
  </si>
  <si>
    <t xml:space="preserve">Stock of last year waste  </t>
  </si>
  <si>
    <t>Municipal Solid Waste</t>
  </si>
  <si>
    <t>2019-20</t>
  </si>
  <si>
    <t>2020-21</t>
  </si>
  <si>
    <t>Bio Medical Waste</t>
  </si>
  <si>
    <t>Hazardous Waste</t>
  </si>
  <si>
    <t>E Waste</t>
  </si>
  <si>
    <t>Unit: Tonnes</t>
  </si>
  <si>
    <t xml:space="preserve">Disposal and Treatment of Solid Waste </t>
  </si>
  <si>
    <t>Landfill/Dumpsite</t>
  </si>
  <si>
    <t>Composting</t>
  </si>
  <si>
    <t>Vemi- Composting</t>
  </si>
  <si>
    <t>Biomethanation</t>
  </si>
  <si>
    <t>Waste to Energy</t>
  </si>
  <si>
    <t>Export</t>
  </si>
  <si>
    <t>To the Environment</t>
  </si>
  <si>
    <t>Stock of  waste  at the end of the year</t>
  </si>
  <si>
    <t xml:space="preserve">Sanitary Landfill </t>
  </si>
  <si>
    <t>Dumpsite</t>
  </si>
  <si>
    <t>E-Waste</t>
  </si>
  <si>
    <t>Annexure 3.1</t>
  </si>
  <si>
    <t>Hotels/ Shops/ Restaurants</t>
  </si>
  <si>
    <t>Year-wise Total Physical Supply Table for Solid Waste - Chandigarh</t>
  </si>
  <si>
    <t>Annexure 3.2</t>
  </si>
  <si>
    <t>Year-wise Total Physical Use Table for Solid Waste - Chandigarh</t>
  </si>
  <si>
    <t xml:space="preserve">Total </t>
  </si>
  <si>
    <t xml:space="preserve">Stock of last year </t>
  </si>
  <si>
    <t>Plastic Waste</t>
  </si>
  <si>
    <t>Stock at the End of the year</t>
  </si>
  <si>
    <t xml:space="preserve">Remarks: Others includes treament of waste other than the treatments included above or those for which treatment mechanism is not available. </t>
  </si>
  <si>
    <t>Annexure 3.3</t>
  </si>
  <si>
    <t>Year-wise Total Physical Supply Table for Solid Waste - Gujarat</t>
  </si>
  <si>
    <t>Annexure 3.4</t>
  </si>
  <si>
    <t>Year-wise Total Physical Use Table for Solid Waste - Gujarat</t>
  </si>
  <si>
    <t xml:space="preserve">Stock of last year solid waste  </t>
  </si>
  <si>
    <t>Annexure 3.5</t>
  </si>
  <si>
    <t>Year-wise Physical Supply Table for Solid Waste - Jammu &amp; Kashmir</t>
  </si>
  <si>
    <t xml:space="preserve">* Others includes other industries and recovered residuals from the Environment.                                                                                                                                                          </t>
  </si>
  <si>
    <t>Annexure 3.6</t>
  </si>
  <si>
    <t>Year-wise Physical Use Table for Solid Waste - Jammu &amp; Kashmir</t>
  </si>
  <si>
    <t>Annexure 3.7</t>
  </si>
  <si>
    <t>Year-wise Physical Supply Table for Solid Waste - Maharashtra</t>
  </si>
  <si>
    <t xml:space="preserve">* Others includes other industries and recovered residuals from the Environment.   </t>
  </si>
  <si>
    <t>Annexure 3.8</t>
  </si>
  <si>
    <t>Year-wise Physical Use Table for Solid Waste - Maharashtra</t>
  </si>
  <si>
    <t>Stock of Waste at the end of year</t>
  </si>
  <si>
    <t>Annexure 3.9</t>
  </si>
  <si>
    <t>Year-wise Physical Supply Table for Solid Waste - Mizoram</t>
  </si>
  <si>
    <t>Remarks                                                                                                                                                                                                                                                                                                                                                                                                                                                                                                                                                    * Others includes other industries and recovered residuals from the Environment.                                                                                                                                                                                                                                                                                                                                                                                                 (i)    Solid Waste : Waste are collected from all premises without zoning.                                                                                                                                                                                                                                                                                                                                                                                                                         (ii)   E-waste : Data obtained from bulk consumers.                                                                                                                                                                                                                                                                                                                                                                                                                                                                        (iii)   Bio Medical waste : Sources are different types of health care facilities.                                                                                                                                                                                                                                                                                                                                                                                                              (iv)   Hazardous Waste : Data are obtained from annual returns submitted by HW generating units in the state.</t>
  </si>
  <si>
    <t xml:space="preserve">Remarks                                                                                                                                                                                                                                                                                                                                                                                                                                                                                                                                                    * Others includes treament of waste other than the treatments included above or those for which treatment mechanism is not available.                                                                                                                                                                                                                                                                                                                                                                    (i)    Municipal Solid Waste: Pig feeds, Reuse, Composting, Recycling and Material Recovery.                                                                                                                                                                                                                                                                                                                                                                                                                       (ii)   Bio Medical Waste: Incineration, deep burial pit, sharp pit, cytotoxic vials, ampules sent to CBMWTFs by AMC.                                                                                                                                                                                                                                                                                                                                                                                                                                                      (iii)   Plastic Waste 2019-20: Waste quantity higher due to collection of plastic wastes from waste dumped through a cleanliness programme organised by AMC.                                                                                                                                                                                                                                                                                                                                                                    </t>
  </si>
  <si>
    <t>Year-wise Physical Supply Table for Solid Waste - Rajasthan</t>
  </si>
  <si>
    <t>Year-wise Physical Use Table for Solid Waste - Mizoram</t>
  </si>
  <si>
    <t xml:space="preserve">Remarks                                                                                                                                                                                                                                                                                                                                                                                                                                                                                                                                                    * Others includes other industries and recovered residuals from the Environment.                                                                                                                                                                                                                                                                                                                                                                                                 (i)    The Total Plastic waste generated by the State for the year 2018-19, 2019-20 and 2020-21 are 104704.38 TPA, 51966 TPA and 66324.57 TPA res[ectively, but the 'use side' information is not available with the sSatate.                                                                                                                                                                                                                                                                                                                            </t>
  </si>
  <si>
    <t>Year-wise Physical Use Table for Solid Waste - Rajasthan</t>
  </si>
  <si>
    <t xml:space="preserve">Waste Category </t>
  </si>
  <si>
    <t xml:space="preserve">Remarks                                                                                                                                                                                                                                                                                                                                                                                                                                                                                                                                                    * Others includes treament of waste other than the treatments included above or those for which treatment mechanism is not available.                                                                                                                                                                                                                                                                                                                                           </t>
  </si>
  <si>
    <t>Stock at the end of year</t>
  </si>
  <si>
    <t>Annexure 3.11</t>
  </si>
  <si>
    <t>Annexure 3.12</t>
  </si>
  <si>
    <t>Annexure 3.10</t>
  </si>
  <si>
    <t>Annexure 3.13</t>
  </si>
  <si>
    <t>Year-wise Physical Supply Table for Solid Waste - Tamil Nadu</t>
  </si>
  <si>
    <t xml:space="preserve">Remarks                                                                                                                                                                                                                                                                                                                                                                                                                                                                                                                                                    * Others includes other industries and recovered residuals from the Environment.                                                                                                                                                                                                                                                                      </t>
  </si>
  <si>
    <t>Year-wise Physical Use Table for Solid Waste - Tamil Nadu</t>
  </si>
  <si>
    <t>Annexure 3.14</t>
  </si>
  <si>
    <t xml:space="preserve">Remarks:
* Others includes other industries and recovered residuals from the Environment
(i) The plastic waste generated in the State as provided by CPCB Report is 6000 TPA, 6746 TPA and 13107 TPA for the years 2018-19, 2019-20 and 2020-21 but the use side information was not available.  </t>
  </si>
  <si>
    <t xml:space="preserve">Remarks:
* Others includes other industries and recovered residuals from the Environment.
(i) MSW: The total waste generated (in this case wasted collected) has been taken from the CPCB Report and the same has been distributed according to the State's ratio. </t>
  </si>
  <si>
    <t xml:space="preserve">S. No. </t>
  </si>
  <si>
    <t>S.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</si>
</sst>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2" x14ac:knownFonts="1">
    <font>
      <sz val="11"/>
      <color theme="1"/>
      <name val="Calibri"/>
      <family val="2"/>
      <scheme val="minor"/>
    </font>
    <font>
      <sz val="11"/>
      <color theme="1"/>
      <name val="Palatino Linotype"/>
      <family val="1"/>
    </font>
    <font>
      <sz val="12"/>
      <color theme="1"/>
      <name val="Times New Roman"/>
      <family val="1"/>
    </font>
    <font>
      <sz val="12"/>
      <color theme="1"/>
      <name val="Symbol"/>
      <family val="1"/>
      <charset val="2"/>
    </font>
    <font>
      <sz val="9"/>
      <color theme="1"/>
      <name val="Palatino Linotype"/>
      <family val="1"/>
    </font>
    <font>
      <sz val="10"/>
      <color theme="1"/>
      <name val="Palatino Linotype"/>
      <family val="1"/>
    </font>
    <font>
      <sz val="10"/>
      <color rgb="FF000000"/>
      <name val="Calibri"/>
      <family val="2"/>
      <scheme val="minor"/>
    </font>
    <font>
      <sz val="10"/>
      <color rgb="FF000000"/>
      <name val="Palatino Linotype"/>
      <family val="1"/>
    </font>
    <font>
      <b/>
      <sz val="10"/>
      <color rgb="FF000000"/>
      <name val="Palatino Linotype"/>
      <family val="1"/>
    </font>
    <font>
      <sz val="11"/>
      <name val="Calibri"/>
      <family val="2"/>
      <scheme val="minor"/>
    </font>
    <font>
      <b/>
      <sz val="11"/>
      <name val="Calibri"/>
      <family val="2"/>
      <scheme val="minor"/>
    </font>
    <font>
      <sz val="12"/>
      <color theme="1"/>
      <name val="Calibri"/>
      <family val="2"/>
      <scheme val="minor"/>
    </font>
    <font>
      <sz val="12"/>
      <name val="Palatino Linotype"/>
      <family val="1"/>
    </font>
    <font>
      <b/>
      <sz val="12"/>
      <color theme="1"/>
      <name val="Palatino Linotype"/>
      <family val="1"/>
    </font>
    <font>
      <b/>
      <sz val="12"/>
      <color rgb="FF000000"/>
      <name val="Palatino Linotype"/>
      <family val="1"/>
    </font>
    <font>
      <sz val="12"/>
      <color theme="1"/>
      <name val="Palatino Linotype"/>
      <family val="1"/>
    </font>
    <font>
      <sz val="12"/>
      <color rgb="FF000000"/>
      <name val="Palatino Linotype"/>
      <family val="1"/>
    </font>
    <font>
      <sz val="12"/>
      <color rgb="FFFF0000"/>
      <name val="Palatino Linotype"/>
      <family val="1"/>
    </font>
    <font>
      <b/>
      <sz val="12"/>
      <name val="Palatino Linotype"/>
      <family val="1"/>
    </font>
    <font>
      <i/>
      <sz val="11"/>
      <color rgb="FF000000"/>
      <name val="Palatino Linotype"/>
      <family val="1"/>
    </font>
    <font>
      <i/>
      <sz val="11"/>
      <color theme="1"/>
      <name val="Palatino Linotype"/>
      <family val="1"/>
    </font>
    <font>
      <i/>
      <sz val="12"/>
      <color theme="1"/>
      <name val="Palatino Linotype"/>
      <family val="1"/>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110">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0" xfId="0" applyAlignment="1">
      <alignment wrapText="1"/>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xf>
    <xf numFmtId="0" fontId="0" fillId="0" borderId="0" xfId="0" applyAlignment="1">
      <alignment horizontal="left"/>
    </xf>
    <xf numFmtId="1" fontId="0" fillId="0" borderId="0" xfId="0" applyNumberFormat="1"/>
    <xf numFmtId="0" fontId="3" fillId="0" borderId="0" xfId="0" applyFont="1" applyAlignment="1">
      <alignment horizontal="center" vertical="center"/>
    </xf>
    <xf numFmtId="2" fontId="0" fillId="0" borderId="0" xfId="0" applyNumberFormat="1"/>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7" fillId="0" borderId="0" xfId="1" applyFont="1" applyAlignment="1"/>
    <xf numFmtId="0" fontId="8" fillId="0" borderId="0" xfId="1" applyFont="1" applyAlignment="1"/>
    <xf numFmtId="3" fontId="0" fillId="0" borderId="0" xfId="0" applyNumberFormat="1"/>
    <xf numFmtId="3" fontId="1" fillId="0" borderId="0" xfId="0" applyNumberFormat="1" applyFont="1"/>
    <xf numFmtId="0" fontId="9" fillId="0" borderId="0" xfId="0" applyFont="1"/>
    <xf numFmtId="0" fontId="10" fillId="0" borderId="0" xfId="0" applyFont="1" applyAlignment="1">
      <alignment horizontal="center"/>
    </xf>
    <xf numFmtId="0" fontId="10" fillId="0" borderId="0" xfId="0" applyFont="1" applyAlignment="1">
      <alignment vertical="center" wrapText="1"/>
    </xf>
    <xf numFmtId="0" fontId="11" fillId="0" borderId="0" xfId="0" applyFont="1"/>
    <xf numFmtId="0" fontId="11" fillId="0" borderId="0" xfId="1" applyFont="1" applyAlignment="1"/>
    <xf numFmtId="1" fontId="11" fillId="0" borderId="0" xfId="0" applyNumberFormat="1" applyFont="1"/>
    <xf numFmtId="9" fontId="11" fillId="0" borderId="0" xfId="0" applyNumberFormat="1" applyFont="1"/>
    <xf numFmtId="0" fontId="11" fillId="0" borderId="0" xfId="0" applyFont="1" applyAlignment="1">
      <alignment horizontal="center"/>
    </xf>
    <xf numFmtId="3" fontId="12" fillId="0" borderId="1" xfId="0" applyNumberFormat="1" applyFont="1" applyBorder="1" applyAlignment="1">
      <alignment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3" fontId="15" fillId="0" borderId="1" xfId="0" applyNumberFormat="1" applyFont="1" applyBorder="1" applyAlignment="1">
      <alignment vertical="center" wrapText="1"/>
    </xf>
    <xf numFmtId="0" fontId="14" fillId="2" borderId="1" xfId="0" applyFont="1" applyFill="1" applyBorder="1" applyAlignment="1">
      <alignment horizontal="center" vertical="center" wrapText="1"/>
    </xf>
    <xf numFmtId="1" fontId="16" fillId="0" borderId="1" xfId="0" applyNumberFormat="1" applyFont="1" applyBorder="1" applyAlignment="1">
      <alignment vertical="center" wrapText="1"/>
    </xf>
    <xf numFmtId="1" fontId="16" fillId="0" borderId="1" xfId="0" applyNumberFormat="1" applyFont="1" applyFill="1" applyBorder="1" applyAlignment="1">
      <alignment vertical="center" wrapText="1"/>
    </xf>
    <xf numFmtId="1" fontId="15" fillId="0" borderId="1" xfId="0" applyNumberFormat="1" applyFont="1" applyBorder="1"/>
    <xf numFmtId="0" fontId="16" fillId="0" borderId="1" xfId="0" applyFont="1" applyBorder="1" applyAlignment="1">
      <alignment vertical="center" wrapText="1"/>
    </xf>
    <xf numFmtId="3" fontId="15" fillId="0" borderId="1" xfId="0" applyNumberFormat="1" applyFont="1" applyBorder="1"/>
    <xf numFmtId="3" fontId="15" fillId="0" borderId="1" xfId="0" applyNumberFormat="1" applyFont="1" applyBorder="1" applyAlignment="1">
      <alignment wrapText="1"/>
    </xf>
    <xf numFmtId="3" fontId="15" fillId="0" borderId="1" xfId="0" applyNumberFormat="1" applyFont="1" applyBorder="1" applyAlignment="1"/>
    <xf numFmtId="3" fontId="15" fillId="0" borderId="1" xfId="0" applyNumberFormat="1" applyFont="1" applyFill="1" applyBorder="1"/>
    <xf numFmtId="0" fontId="13" fillId="2" borderId="1" xfId="0" applyFont="1" applyFill="1" applyBorder="1" applyAlignment="1">
      <alignment horizontal="center" wrapText="1"/>
    </xf>
    <xf numFmtId="3" fontId="12" fillId="0" borderId="1" xfId="0" applyNumberFormat="1" applyFont="1" applyBorder="1"/>
    <xf numFmtId="1" fontId="12" fillId="0" borderId="1" xfId="0" applyNumberFormat="1" applyFont="1" applyBorder="1" applyAlignment="1">
      <alignment vertical="center"/>
    </xf>
    <xf numFmtId="0" fontId="15" fillId="0" borderId="0" xfId="0" applyFont="1"/>
    <xf numFmtId="2" fontId="16" fillId="0" borderId="1" xfId="0" applyNumberFormat="1" applyFont="1" applyBorder="1" applyAlignment="1">
      <alignment vertical="center" wrapText="1"/>
    </xf>
    <xf numFmtId="1" fontId="12" fillId="0" borderId="1" xfId="0" applyNumberFormat="1" applyFont="1" applyFill="1" applyBorder="1" applyAlignment="1">
      <alignment vertical="center" wrapText="1"/>
    </xf>
    <xf numFmtId="3" fontId="15" fillId="0" borderId="1" xfId="0" applyNumberFormat="1" applyFont="1" applyBorder="1" applyAlignment="1">
      <alignment horizontal="center"/>
    </xf>
    <xf numFmtId="3" fontId="15" fillId="0" borderId="1" xfId="0" applyNumberFormat="1" applyFont="1" applyBorder="1" applyAlignment="1">
      <alignment horizontal="right"/>
    </xf>
    <xf numFmtId="3" fontId="15" fillId="0" borderId="1" xfId="0" applyNumberFormat="1" applyFont="1" applyFill="1" applyBorder="1" applyAlignment="1">
      <alignment wrapText="1"/>
    </xf>
    <xf numFmtId="3" fontId="15" fillId="0" borderId="1" xfId="0" applyNumberFormat="1" applyFont="1" applyFill="1" applyBorder="1" applyAlignment="1"/>
    <xf numFmtId="0" fontId="13" fillId="2" borderId="1" xfId="1" applyFont="1" applyFill="1" applyBorder="1" applyAlignment="1">
      <alignment horizontal="center" vertical="center" wrapText="1"/>
    </xf>
    <xf numFmtId="0" fontId="13" fillId="2" borderId="1" xfId="1" applyFont="1" applyFill="1" applyBorder="1" applyAlignment="1">
      <alignment horizontal="center" wrapText="1"/>
    </xf>
    <xf numFmtId="3" fontId="16" fillId="0" borderId="1" xfId="1" applyNumberFormat="1" applyFont="1" applyBorder="1" applyAlignment="1"/>
    <xf numFmtId="0" fontId="14" fillId="2" borderId="1" xfId="1" applyFont="1" applyFill="1" applyBorder="1" applyAlignment="1">
      <alignment horizontal="center" vertical="center" wrapText="1"/>
    </xf>
    <xf numFmtId="3" fontId="16" fillId="0" borderId="1" xfId="1" applyNumberFormat="1" applyFont="1" applyBorder="1"/>
    <xf numFmtId="3" fontId="17" fillId="0" borderId="1" xfId="1" applyNumberFormat="1" applyFont="1" applyBorder="1"/>
    <xf numFmtId="3" fontId="12" fillId="0" borderId="1" xfId="1" applyNumberFormat="1" applyFont="1" applyFill="1" applyBorder="1"/>
    <xf numFmtId="3" fontId="12" fillId="0" borderId="1" xfId="1" applyNumberFormat="1" applyFont="1" applyFill="1" applyBorder="1" applyAlignment="1">
      <alignment vertical="center" wrapText="1"/>
    </xf>
    <xf numFmtId="3" fontId="12" fillId="0" borderId="1" xfId="1" applyNumberFormat="1" applyFont="1" applyFill="1" applyBorder="1" applyAlignment="1"/>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1" xfId="0" applyFont="1" applyFill="1" applyBorder="1" applyAlignment="1">
      <alignment vertical="center"/>
    </xf>
    <xf numFmtId="3" fontId="12" fillId="0" borderId="1" xfId="0" applyNumberFormat="1" applyFont="1" applyBorder="1" applyAlignment="1">
      <alignment vertical="center"/>
    </xf>
    <xf numFmtId="164" fontId="12" fillId="0" borderId="1" xfId="0" applyNumberFormat="1" applyFont="1" applyBorder="1" applyAlignment="1">
      <alignment vertical="center"/>
    </xf>
    <xf numFmtId="165" fontId="12" fillId="0" borderId="1" xfId="0" applyNumberFormat="1" applyFont="1" applyBorder="1" applyAlignment="1">
      <alignment vertical="center"/>
    </xf>
    <xf numFmtId="3" fontId="16" fillId="0" borderId="1" xfId="0" applyNumberFormat="1" applyFont="1" applyBorder="1" applyAlignment="1">
      <alignment vertical="center" wrapText="1"/>
    </xf>
    <xf numFmtId="3" fontId="16" fillId="0" borderId="1" xfId="0" applyNumberFormat="1" applyFont="1" applyFill="1" applyBorder="1" applyAlignment="1">
      <alignment vertical="center" wrapText="1"/>
    </xf>
    <xf numFmtId="0" fontId="14" fillId="0" borderId="1" xfId="1" applyFont="1" applyBorder="1" applyAlignment="1">
      <alignment horizontal="center" vertical="center" wrapText="1"/>
    </xf>
    <xf numFmtId="0" fontId="18" fillId="2" borderId="1" xfId="0" applyFont="1" applyFill="1" applyBorder="1" applyAlignment="1">
      <alignment horizontal="left" vertical="center" wrapText="1"/>
    </xf>
    <xf numFmtId="3" fontId="12" fillId="0" borderId="1" xfId="0" applyNumberFormat="1" applyFont="1" applyBorder="1" applyAlignment="1">
      <alignment horizontal="right" vertical="center" wrapText="1"/>
    </xf>
    <xf numFmtId="165" fontId="12" fillId="0" borderId="1" xfId="0" applyNumberFormat="1" applyFont="1" applyBorder="1" applyAlignment="1">
      <alignment horizontal="right" vertical="center" wrapText="1"/>
    </xf>
    <xf numFmtId="0" fontId="19" fillId="0" borderId="3" xfId="0" applyFont="1" applyBorder="1" applyAlignment="1">
      <alignment horizontal="left" vertical="center" wrapText="1"/>
    </xf>
    <xf numFmtId="0" fontId="14" fillId="0" borderId="0" xfId="0" applyFont="1" applyAlignment="1">
      <alignment horizontal="center" vertical="center"/>
    </xf>
    <xf numFmtId="0" fontId="13" fillId="0" borderId="5" xfId="0" applyFont="1" applyBorder="1" applyAlignment="1">
      <alignment horizontal="righ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20" fillId="0" borderId="3" xfId="0" applyFont="1" applyBorder="1" applyAlignment="1">
      <alignment horizontal="left" vertical="center"/>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 xfId="0" applyFont="1" applyFill="1" applyBorder="1" applyAlignment="1">
      <alignment vertical="center" wrapText="1"/>
    </xf>
    <xf numFmtId="3" fontId="15" fillId="0" borderId="8" xfId="0" applyNumberFormat="1" applyFont="1" applyBorder="1" applyAlignment="1">
      <alignment horizontal="center"/>
    </xf>
    <xf numFmtId="3" fontId="15" fillId="0" borderId="9" xfId="0" applyNumberFormat="1" applyFont="1" applyBorder="1" applyAlignment="1">
      <alignment horizontal="center"/>
    </xf>
    <xf numFmtId="3" fontId="15" fillId="0" borderId="10" xfId="0" applyNumberFormat="1" applyFont="1" applyBorder="1" applyAlignment="1">
      <alignment horizontal="center"/>
    </xf>
    <xf numFmtId="0" fontId="20" fillId="0" borderId="3" xfId="0" applyFont="1" applyBorder="1" applyAlignment="1">
      <alignment horizontal="left" vertical="center" wrapText="1"/>
    </xf>
    <xf numFmtId="0" fontId="13" fillId="0" borderId="5" xfId="0" applyFont="1" applyBorder="1" applyAlignment="1">
      <alignment horizontal="right" vertical="center" wrapText="1"/>
    </xf>
    <xf numFmtId="0" fontId="14" fillId="0" borderId="0" xfId="0" applyFont="1" applyAlignment="1">
      <alignment horizontal="center" vertical="center" wrapText="1"/>
    </xf>
    <xf numFmtId="0" fontId="21" fillId="0" borderId="3" xfId="0" applyFont="1" applyBorder="1" applyAlignment="1">
      <alignment horizontal="left" vertical="center" wrapText="1"/>
    </xf>
    <xf numFmtId="0" fontId="20" fillId="0" borderId="3" xfId="0" applyFont="1" applyBorder="1" applyAlignment="1">
      <alignment horizontal="left"/>
    </xf>
    <xf numFmtId="3" fontId="15" fillId="0" borderId="1" xfId="0" applyNumberFormat="1" applyFont="1" applyBorder="1" applyAlignment="1">
      <alignment horizontal="center"/>
    </xf>
    <xf numFmtId="0" fontId="14" fillId="0" borderId="0" xfId="0" applyFont="1" applyAlignment="1">
      <alignment horizontal="center"/>
    </xf>
    <xf numFmtId="0" fontId="13" fillId="2" borderId="1" xfId="0" applyFont="1" applyFill="1" applyBorder="1" applyAlignment="1">
      <alignment horizontal="center" wrapText="1"/>
    </xf>
    <xf numFmtId="0" fontId="14" fillId="2" borderId="1" xfId="1" applyFont="1" applyFill="1" applyBorder="1" applyAlignment="1">
      <alignment horizontal="center" vertical="center" wrapText="1"/>
    </xf>
    <xf numFmtId="0" fontId="14" fillId="2" borderId="1" xfId="1" applyFont="1" applyFill="1" applyBorder="1" applyAlignment="1">
      <alignment vertical="center" wrapText="1"/>
    </xf>
    <xf numFmtId="0" fontId="13" fillId="2" borderId="1" xfId="1" applyFont="1" applyFill="1" applyBorder="1" applyAlignment="1">
      <alignment horizontal="center" vertical="center" wrapText="1"/>
    </xf>
    <xf numFmtId="3" fontId="12" fillId="0" borderId="1" xfId="1" applyNumberFormat="1" applyFont="1" applyFill="1" applyBorder="1" applyAlignment="1">
      <alignment horizontal="center" vertical="center" wrapText="1"/>
    </xf>
    <xf numFmtId="3" fontId="12" fillId="0" borderId="1" xfId="1" applyNumberFormat="1" applyFont="1" applyFill="1" applyBorder="1" applyAlignment="1">
      <alignment horizontal="center"/>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0" borderId="0" xfId="0" applyFont="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3" fillId="0" borderId="0" xfId="0" applyFont="1" applyAlignment="1">
      <alignment horizontal="right"/>
    </xf>
    <xf numFmtId="0" fontId="13" fillId="0" borderId="0" xfId="0" applyFont="1" applyAlignment="1">
      <alignment horizontal="right" vertical="center"/>
    </xf>
    <xf numFmtId="0" fontId="13" fillId="0" borderId="0" xfId="0" applyFont="1" applyAlignment="1">
      <alignment horizontal="right" vertical="center" wrapText="1"/>
    </xf>
    <xf numFmtId="0" fontId="18" fillId="0" borderId="0" xfId="0" applyFont="1" applyAlignment="1">
      <alignment horizontal="right"/>
    </xf>
  </cellXfs>
  <cellStyles count="2">
    <cellStyle name="Normal" xfId="0" builtinId="0"/>
    <cellStyle name="Normal 2" xfId="1" xr:uid="{D7615227-F87A-40F1-AAC9-C866A735C561}"/>
  </cellStyles>
  <dxfs count="1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1A2F1-3799-452C-A0D4-83013F94133F}">
  <sheetPr>
    <pageSetUpPr fitToPage="1"/>
  </sheetPr>
  <dimension ref="A1:T29"/>
  <sheetViews>
    <sheetView zoomScaleNormal="100" zoomScaleSheetLayoutView="50" workbookViewId="0">
      <selection sqref="A1:K1"/>
    </sheetView>
  </sheetViews>
  <sheetFormatPr defaultRowHeight="15" x14ac:dyDescent="0.25"/>
  <cols>
    <col min="1" max="1" width="5.7109375" style="7" customWidth="1"/>
    <col min="2" max="2" width="15" style="9" customWidth="1"/>
    <col min="3" max="3" width="10.42578125" style="1" customWidth="1"/>
    <col min="4" max="4" width="13.5703125" customWidth="1"/>
    <col min="5" max="5" width="10.7109375" customWidth="1"/>
    <col min="6" max="6" width="13.42578125" customWidth="1"/>
    <col min="7" max="7" width="9.85546875" customWidth="1"/>
    <col min="8" max="8" width="15.42578125" customWidth="1"/>
    <col min="9" max="9" width="9.42578125" customWidth="1"/>
    <col min="10" max="10" width="11.28515625" customWidth="1"/>
    <col min="11" max="11" width="9.42578125" customWidth="1"/>
  </cols>
  <sheetData>
    <row r="1" spans="1:20" ht="18" x14ac:dyDescent="0.35">
      <c r="A1" s="106" t="s">
        <v>59</v>
      </c>
      <c r="B1" s="106"/>
      <c r="C1" s="106"/>
      <c r="D1" s="106"/>
      <c r="E1" s="106"/>
      <c r="F1" s="106"/>
      <c r="G1" s="106"/>
      <c r="H1" s="106"/>
      <c r="I1" s="106"/>
      <c r="J1" s="106"/>
      <c r="K1" s="106"/>
    </row>
    <row r="2" spans="1:20" ht="18" x14ac:dyDescent="0.25">
      <c r="A2" s="73" t="s">
        <v>61</v>
      </c>
      <c r="B2" s="73"/>
      <c r="C2" s="73"/>
      <c r="D2" s="73"/>
      <c r="E2" s="73"/>
      <c r="F2" s="73"/>
      <c r="G2" s="73"/>
      <c r="H2" s="73"/>
      <c r="I2" s="73"/>
      <c r="J2" s="73"/>
      <c r="K2" s="73"/>
    </row>
    <row r="3" spans="1:20" ht="18" x14ac:dyDescent="0.25">
      <c r="A3" s="74" t="s">
        <v>46</v>
      </c>
      <c r="B3" s="74"/>
      <c r="C3" s="74"/>
      <c r="D3" s="74"/>
      <c r="E3" s="74"/>
      <c r="F3" s="74"/>
      <c r="G3" s="74"/>
      <c r="H3" s="74"/>
      <c r="I3" s="74"/>
      <c r="J3" s="74"/>
      <c r="K3" s="74"/>
    </row>
    <row r="4" spans="1:20" ht="15" customHeight="1" x14ac:dyDescent="0.25">
      <c r="A4" s="77" t="s">
        <v>106</v>
      </c>
      <c r="B4" s="77" t="s">
        <v>31</v>
      </c>
      <c r="C4" s="77"/>
      <c r="D4" s="77"/>
      <c r="E4" s="77"/>
      <c r="F4" s="77"/>
      <c r="G4" s="77"/>
      <c r="H4" s="77"/>
      <c r="I4" s="77"/>
      <c r="J4" s="77"/>
      <c r="K4" s="77" t="s">
        <v>24</v>
      </c>
    </row>
    <row r="5" spans="1:20" ht="51" customHeight="1" x14ac:dyDescent="0.25">
      <c r="A5" s="77"/>
      <c r="B5" s="29" t="s">
        <v>32</v>
      </c>
      <c r="C5" s="29" t="s">
        <v>33</v>
      </c>
      <c r="D5" s="29" t="s">
        <v>34</v>
      </c>
      <c r="E5" s="29" t="s">
        <v>35</v>
      </c>
      <c r="F5" s="29" t="s">
        <v>60</v>
      </c>
      <c r="G5" s="29" t="s">
        <v>36</v>
      </c>
      <c r="H5" s="29" t="s">
        <v>37</v>
      </c>
      <c r="I5" s="29" t="s">
        <v>38</v>
      </c>
      <c r="J5" s="29" t="s">
        <v>39</v>
      </c>
      <c r="K5" s="77"/>
    </row>
    <row r="6" spans="1:20" ht="18" x14ac:dyDescent="0.25">
      <c r="A6" s="75">
        <v>1</v>
      </c>
      <c r="B6" s="76" t="s">
        <v>40</v>
      </c>
      <c r="C6" s="30" t="s">
        <v>16</v>
      </c>
      <c r="D6" s="28">
        <f>ROUND(511.28*365*0.88,0)</f>
        <v>164223</v>
      </c>
      <c r="E6" s="28"/>
      <c r="F6" s="28">
        <f>ROUND(511.28*365*0.12,0)</f>
        <v>22394</v>
      </c>
      <c r="G6" s="28"/>
      <c r="H6" s="28"/>
      <c r="I6" s="28"/>
      <c r="J6" s="28"/>
      <c r="K6" s="31">
        <f>SUM(D6:J6)</f>
        <v>186617</v>
      </c>
    </row>
    <row r="7" spans="1:20" ht="18" x14ac:dyDescent="0.25">
      <c r="A7" s="75"/>
      <c r="B7" s="76"/>
      <c r="C7" s="30" t="s">
        <v>41</v>
      </c>
      <c r="D7" s="28">
        <f>ROUND(450*365*0.88,0)</f>
        <v>144540</v>
      </c>
      <c r="E7" s="28"/>
      <c r="F7" s="28">
        <f>ROUND(450*365*0.12,0)</f>
        <v>19710</v>
      </c>
      <c r="G7" s="28"/>
      <c r="H7" s="28"/>
      <c r="I7" s="28"/>
      <c r="J7" s="28"/>
      <c r="K7" s="31">
        <f t="shared" ref="K7:K17" si="0">SUM(D7:J7)</f>
        <v>164250</v>
      </c>
    </row>
    <row r="8" spans="1:20" ht="18" x14ac:dyDescent="0.25">
      <c r="A8" s="75"/>
      <c r="B8" s="76"/>
      <c r="C8" s="30" t="s">
        <v>42</v>
      </c>
      <c r="D8" s="28">
        <f>ROUND(513*365*0.88,0)</f>
        <v>164776</v>
      </c>
      <c r="E8" s="28"/>
      <c r="F8" s="28">
        <f>ROUND(513*365*0.12,0)</f>
        <v>22469</v>
      </c>
      <c r="G8" s="28"/>
      <c r="H8" s="28"/>
      <c r="I8" s="28"/>
      <c r="J8" s="28"/>
      <c r="K8" s="31">
        <f t="shared" si="0"/>
        <v>187245</v>
      </c>
      <c r="T8" s="23"/>
    </row>
    <row r="9" spans="1:20" ht="18" x14ac:dyDescent="0.25">
      <c r="A9" s="75">
        <v>2</v>
      </c>
      <c r="B9" s="76" t="s">
        <v>43</v>
      </c>
      <c r="C9" s="30" t="s">
        <v>16</v>
      </c>
      <c r="D9" s="28"/>
      <c r="E9" s="28">
        <f>ROUND(3188*365/1000,0)</f>
        <v>1164</v>
      </c>
      <c r="F9" s="28"/>
      <c r="G9" s="28"/>
      <c r="H9" s="28"/>
      <c r="I9" s="28"/>
      <c r="J9" s="28"/>
      <c r="K9" s="31">
        <f t="shared" si="0"/>
        <v>1164</v>
      </c>
    </row>
    <row r="10" spans="1:20" ht="18" x14ac:dyDescent="0.25">
      <c r="A10" s="75"/>
      <c r="B10" s="76"/>
      <c r="C10" s="30" t="s">
        <v>41</v>
      </c>
      <c r="D10" s="28"/>
      <c r="E10" s="28">
        <f>ROUND(3869*365/1000,0)</f>
        <v>1412</v>
      </c>
      <c r="F10" s="28"/>
      <c r="G10" s="28"/>
      <c r="H10" s="28"/>
      <c r="I10" s="28"/>
      <c r="J10" s="28"/>
      <c r="K10" s="31">
        <f t="shared" si="0"/>
        <v>1412</v>
      </c>
    </row>
    <row r="11" spans="1:20" ht="18" x14ac:dyDescent="0.25">
      <c r="A11" s="75"/>
      <c r="B11" s="76"/>
      <c r="C11" s="30" t="s">
        <v>42</v>
      </c>
      <c r="D11" s="28"/>
      <c r="E11" s="28">
        <f>ROUND(5729*365/1000,0)</f>
        <v>2091</v>
      </c>
      <c r="F11" s="28"/>
      <c r="G11" s="28"/>
      <c r="H11" s="28"/>
      <c r="I11" s="28"/>
      <c r="J11" s="28"/>
      <c r="K11" s="31">
        <f t="shared" si="0"/>
        <v>2091</v>
      </c>
    </row>
    <row r="12" spans="1:20" ht="18" x14ac:dyDescent="0.25">
      <c r="A12" s="75">
        <v>3</v>
      </c>
      <c r="B12" s="76" t="s">
        <v>44</v>
      </c>
      <c r="C12" s="30" t="s">
        <v>16</v>
      </c>
      <c r="D12" s="28"/>
      <c r="E12" s="28">
        <f>ROUND(1798,0)</f>
        <v>1798</v>
      </c>
      <c r="F12" s="28"/>
      <c r="G12" s="28"/>
      <c r="H12" s="28"/>
      <c r="I12" s="28"/>
      <c r="J12" s="28"/>
      <c r="K12" s="31">
        <f t="shared" si="0"/>
        <v>1798</v>
      </c>
    </row>
    <row r="13" spans="1:20" ht="18" x14ac:dyDescent="0.25">
      <c r="A13" s="75"/>
      <c r="B13" s="76"/>
      <c r="C13" s="30" t="s">
        <v>41</v>
      </c>
      <c r="D13" s="28"/>
      <c r="E13" s="28">
        <f>ROUND(2125,0)</f>
        <v>2125</v>
      </c>
      <c r="F13" s="28"/>
      <c r="G13" s="28">
        <v>602</v>
      </c>
      <c r="H13" s="28"/>
      <c r="I13" s="28"/>
      <c r="J13" s="28"/>
      <c r="K13" s="31">
        <f t="shared" si="0"/>
        <v>2727</v>
      </c>
    </row>
    <row r="14" spans="1:20" ht="18" x14ac:dyDescent="0.25">
      <c r="A14" s="75"/>
      <c r="B14" s="76"/>
      <c r="C14" s="30" t="s">
        <v>42</v>
      </c>
      <c r="D14" s="28"/>
      <c r="E14" s="28">
        <f>ROUND(1279.1,0)</f>
        <v>1279</v>
      </c>
      <c r="F14" s="28"/>
      <c r="G14" s="28"/>
      <c r="H14" s="28"/>
      <c r="I14" s="28"/>
      <c r="J14" s="28"/>
      <c r="K14" s="31">
        <f t="shared" si="0"/>
        <v>1279</v>
      </c>
    </row>
    <row r="15" spans="1:20" ht="18" x14ac:dyDescent="0.25">
      <c r="A15" s="75">
        <v>4</v>
      </c>
      <c r="B15" s="76" t="s">
        <v>45</v>
      </c>
      <c r="C15" s="30" t="s">
        <v>16</v>
      </c>
      <c r="D15" s="28"/>
      <c r="E15" s="28">
        <f>ROUND(19.64*365,0)</f>
        <v>7169</v>
      </c>
      <c r="F15" s="28"/>
      <c r="G15" s="28"/>
      <c r="H15" s="28"/>
      <c r="I15" s="28"/>
      <c r="J15" s="28"/>
      <c r="K15" s="31">
        <f t="shared" si="0"/>
        <v>7169</v>
      </c>
    </row>
    <row r="16" spans="1:20" ht="18" x14ac:dyDescent="0.25">
      <c r="A16" s="75"/>
      <c r="B16" s="76"/>
      <c r="C16" s="30" t="s">
        <v>41</v>
      </c>
      <c r="D16" s="28"/>
      <c r="E16" s="28">
        <f>ROUND(28.31*365,0)</f>
        <v>10333</v>
      </c>
      <c r="F16" s="28"/>
      <c r="G16" s="28"/>
      <c r="H16" s="28"/>
      <c r="I16" s="28"/>
      <c r="J16" s="28"/>
      <c r="K16" s="31">
        <f t="shared" si="0"/>
        <v>10333</v>
      </c>
    </row>
    <row r="17" spans="1:11" ht="18" x14ac:dyDescent="0.25">
      <c r="A17" s="75"/>
      <c r="B17" s="76"/>
      <c r="C17" s="30" t="s">
        <v>42</v>
      </c>
      <c r="D17" s="28"/>
      <c r="E17" s="28">
        <f>ROUND(30.87*365,0)</f>
        <v>11268</v>
      </c>
      <c r="F17" s="28"/>
      <c r="G17" s="28"/>
      <c r="H17" s="28"/>
      <c r="I17" s="28"/>
      <c r="J17" s="28"/>
      <c r="K17" s="31">
        <f t="shared" si="0"/>
        <v>11268</v>
      </c>
    </row>
    <row r="18" spans="1:11" ht="68.25" customHeight="1" x14ac:dyDescent="0.25">
      <c r="A18" s="72" t="s">
        <v>104</v>
      </c>
      <c r="B18" s="72"/>
      <c r="C18" s="72"/>
      <c r="D18" s="72"/>
      <c r="E18" s="72"/>
      <c r="F18" s="72"/>
      <c r="G18" s="72"/>
      <c r="H18" s="72"/>
      <c r="I18" s="72"/>
      <c r="J18" s="72"/>
      <c r="K18" s="72"/>
    </row>
    <row r="19" spans="1:11" ht="16.5" x14ac:dyDescent="0.3">
      <c r="A19" s="6"/>
      <c r="B19" s="8"/>
      <c r="C19" s="3"/>
      <c r="D19" s="2"/>
      <c r="E19" s="2"/>
      <c r="F19" s="2"/>
      <c r="G19" s="2"/>
      <c r="H19" s="2"/>
      <c r="I19" s="2"/>
      <c r="J19" s="2"/>
      <c r="K19" s="2"/>
    </row>
    <row r="20" spans="1:11" ht="16.5" x14ac:dyDescent="0.3">
      <c r="A20" s="6"/>
      <c r="B20" s="8"/>
      <c r="C20" s="3"/>
      <c r="D20" s="2"/>
      <c r="E20" s="2"/>
      <c r="F20" s="2"/>
      <c r="G20" s="2"/>
      <c r="H20" s="2"/>
      <c r="I20" s="2"/>
      <c r="J20" s="2"/>
      <c r="K20" s="2"/>
    </row>
    <row r="21" spans="1:11" ht="16.5" x14ac:dyDescent="0.3">
      <c r="A21" s="6"/>
      <c r="B21" s="8"/>
      <c r="C21" s="3"/>
      <c r="D21" s="2"/>
      <c r="E21" s="2"/>
      <c r="F21" s="2"/>
      <c r="G21" s="2"/>
      <c r="H21" s="2"/>
      <c r="I21" s="2"/>
      <c r="J21" s="2"/>
      <c r="K21" s="2"/>
    </row>
    <row r="23" spans="1:11" ht="15.75" x14ac:dyDescent="0.25">
      <c r="A23" s="5"/>
    </row>
    <row r="24" spans="1:11" ht="15.75" x14ac:dyDescent="0.25">
      <c r="A24" s="5"/>
    </row>
    <row r="25" spans="1:11" ht="15.75" x14ac:dyDescent="0.25">
      <c r="A25" s="5"/>
    </row>
    <row r="26" spans="1:11" ht="15.75" x14ac:dyDescent="0.25">
      <c r="A26" s="5"/>
    </row>
    <row r="27" spans="1:11" ht="15.75" x14ac:dyDescent="0.25">
      <c r="A27" s="5"/>
    </row>
    <row r="28" spans="1:11" ht="15.75" x14ac:dyDescent="0.25">
      <c r="A28" s="5"/>
    </row>
    <row r="29" spans="1:11" ht="15.75" x14ac:dyDescent="0.25">
      <c r="A29" s="5"/>
    </row>
  </sheetData>
  <mergeCells count="15">
    <mergeCell ref="A1:K1"/>
    <mergeCell ref="A4:A5"/>
    <mergeCell ref="B4:J4"/>
    <mergeCell ref="K4:K5"/>
    <mergeCell ref="A6:A8"/>
    <mergeCell ref="B6:B8"/>
    <mergeCell ref="A18:K18"/>
    <mergeCell ref="A2:K2"/>
    <mergeCell ref="A3:K3"/>
    <mergeCell ref="A12:A14"/>
    <mergeCell ref="B12:B14"/>
    <mergeCell ref="A15:A17"/>
    <mergeCell ref="B15:B17"/>
    <mergeCell ref="A9:A11"/>
    <mergeCell ref="B9:B11"/>
  </mergeCells>
  <conditionalFormatting sqref="C6:K17">
    <cfRule type="expression" dxfId="15" priority="1">
      <formula>MOD(ROW(),2)=0</formula>
    </cfRule>
  </conditionalFormatting>
  <printOptions horizontalCentered="1"/>
  <pageMargins left="0.19685039370078741" right="0.39370078740157483" top="0.59055118110236227" bottom="0.39370078740157483" header="0.31496062992125984" footer="0.31496062992125984"/>
  <pageSetup paperSize="9" firstPageNumber="53" orientation="landscape" useFirstPageNumber="1" r:id="rId1"/>
  <headerFooter>
    <oddFooter>&amp;CA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258F-A76A-414C-BE74-15FE679213B9}">
  <sheetPr>
    <pageSetUpPr fitToPage="1"/>
  </sheetPr>
  <dimension ref="A1:T34"/>
  <sheetViews>
    <sheetView showZeros="0" view="pageBreakPreview" zoomScale="50" zoomScaleNormal="85" zoomScaleSheetLayoutView="50" workbookViewId="0">
      <selection sqref="A1:Q1"/>
    </sheetView>
  </sheetViews>
  <sheetFormatPr defaultColWidth="9.140625" defaultRowHeight="16.5" x14ac:dyDescent="0.3"/>
  <cols>
    <col min="1" max="1" width="6.7109375" style="3" customWidth="1"/>
    <col min="2" max="2" width="17.85546875" style="2" customWidth="1"/>
    <col min="3" max="3" width="13.85546875" style="2" customWidth="1"/>
    <col min="4" max="4" width="14.140625" style="2" customWidth="1"/>
    <col min="5" max="5" width="14" style="2" customWidth="1"/>
    <col min="6" max="6" width="17.42578125" style="2" customWidth="1"/>
    <col min="7" max="7" width="15.28515625" style="2" customWidth="1"/>
    <col min="8" max="8" width="12.28515625" style="2" customWidth="1"/>
    <col min="9" max="9" width="14.7109375" style="2" customWidth="1"/>
    <col min="10" max="10" width="14.42578125" style="2" customWidth="1"/>
    <col min="11" max="11" width="13.5703125" style="2" customWidth="1"/>
    <col min="12" max="12" width="12.28515625" style="13" customWidth="1"/>
    <col min="13" max="13" width="12.85546875" style="2" customWidth="1"/>
    <col min="14" max="14" width="16.85546875" style="2" customWidth="1"/>
    <col min="15" max="15" width="15.85546875" style="2" customWidth="1"/>
    <col min="16" max="16" width="10.7109375" style="2" customWidth="1"/>
    <col min="17" max="17" width="13.140625" style="2" customWidth="1"/>
    <col min="18" max="16384" width="9.140625" style="2"/>
  </cols>
  <sheetData>
    <row r="1" spans="1:20" ht="18" x14ac:dyDescent="0.3">
      <c r="A1" s="108" t="s">
        <v>98</v>
      </c>
      <c r="B1" s="108"/>
      <c r="C1" s="108"/>
      <c r="D1" s="108"/>
      <c r="E1" s="108"/>
      <c r="F1" s="108"/>
      <c r="G1" s="108"/>
      <c r="H1" s="108"/>
      <c r="I1" s="108"/>
      <c r="J1" s="108"/>
      <c r="K1" s="108"/>
      <c r="L1" s="108"/>
      <c r="M1" s="108"/>
      <c r="N1" s="108"/>
      <c r="O1" s="108"/>
      <c r="P1" s="108"/>
      <c r="Q1" s="108"/>
    </row>
    <row r="2" spans="1:20" ht="17.25" customHeight="1" x14ac:dyDescent="0.3">
      <c r="A2" s="87" t="s">
        <v>90</v>
      </c>
      <c r="B2" s="87"/>
      <c r="C2" s="87"/>
      <c r="D2" s="87"/>
      <c r="E2" s="87"/>
      <c r="F2" s="87"/>
      <c r="G2" s="87"/>
      <c r="H2" s="87"/>
      <c r="I2" s="87"/>
      <c r="J2" s="87"/>
      <c r="K2" s="87"/>
      <c r="L2" s="87"/>
      <c r="M2" s="87"/>
      <c r="N2" s="87"/>
      <c r="O2" s="87"/>
      <c r="P2" s="87"/>
      <c r="Q2" s="87"/>
      <c r="R2" s="15"/>
    </row>
    <row r="3" spans="1:20" ht="18" x14ac:dyDescent="0.3">
      <c r="A3" s="74" t="s">
        <v>46</v>
      </c>
      <c r="B3" s="74"/>
      <c r="C3" s="74"/>
      <c r="D3" s="74"/>
      <c r="E3" s="74"/>
      <c r="F3" s="74"/>
      <c r="G3" s="74"/>
      <c r="H3" s="74"/>
      <c r="I3" s="74"/>
      <c r="J3" s="74"/>
      <c r="K3" s="74"/>
      <c r="L3" s="74"/>
      <c r="M3" s="74"/>
      <c r="N3" s="74"/>
      <c r="O3" s="74"/>
      <c r="P3" s="74"/>
      <c r="Q3" s="74"/>
      <c r="R3" s="15"/>
    </row>
    <row r="4" spans="1:20" ht="30" customHeight="1" x14ac:dyDescent="0.3">
      <c r="A4" s="75" t="s">
        <v>107</v>
      </c>
      <c r="B4" s="75" t="s">
        <v>47</v>
      </c>
      <c r="C4" s="75"/>
      <c r="D4" s="75"/>
      <c r="E4" s="75"/>
      <c r="F4" s="75"/>
      <c r="G4" s="75"/>
      <c r="H4" s="75"/>
      <c r="I4" s="75"/>
      <c r="J4" s="75"/>
      <c r="K4" s="75"/>
      <c r="L4" s="75"/>
      <c r="M4" s="75"/>
      <c r="N4" s="75"/>
      <c r="O4" s="75"/>
      <c r="P4" s="75"/>
      <c r="Q4" s="75" t="s">
        <v>64</v>
      </c>
      <c r="R4" s="15"/>
    </row>
    <row r="5" spans="1:20" ht="35.25" customHeight="1" x14ac:dyDescent="0.3">
      <c r="A5" s="75"/>
      <c r="B5" s="75" t="s">
        <v>32</v>
      </c>
      <c r="C5" s="75" t="s">
        <v>33</v>
      </c>
      <c r="D5" s="75" t="s">
        <v>48</v>
      </c>
      <c r="E5" s="75"/>
      <c r="F5" s="75" t="s">
        <v>21</v>
      </c>
      <c r="G5" s="75" t="s">
        <v>22</v>
      </c>
      <c r="H5" s="75" t="s">
        <v>23</v>
      </c>
      <c r="I5" s="75" t="s">
        <v>49</v>
      </c>
      <c r="J5" s="75" t="s">
        <v>50</v>
      </c>
      <c r="K5" s="75" t="s">
        <v>51</v>
      </c>
      <c r="L5" s="75" t="s">
        <v>52</v>
      </c>
      <c r="M5" s="75" t="s">
        <v>53</v>
      </c>
      <c r="N5" s="75" t="s">
        <v>54</v>
      </c>
      <c r="O5" s="75" t="s">
        <v>84</v>
      </c>
      <c r="P5" s="75" t="s">
        <v>38</v>
      </c>
      <c r="Q5" s="75"/>
      <c r="R5" s="15"/>
    </row>
    <row r="6" spans="1:20" ht="36" x14ac:dyDescent="0.3">
      <c r="A6" s="75"/>
      <c r="B6" s="75"/>
      <c r="C6" s="75"/>
      <c r="D6" s="32" t="s">
        <v>56</v>
      </c>
      <c r="E6" s="32" t="s">
        <v>57</v>
      </c>
      <c r="F6" s="75"/>
      <c r="G6" s="75"/>
      <c r="H6" s="75"/>
      <c r="I6" s="75"/>
      <c r="J6" s="75"/>
      <c r="K6" s="75"/>
      <c r="L6" s="75"/>
      <c r="M6" s="75"/>
      <c r="N6" s="75"/>
      <c r="O6" s="75"/>
      <c r="P6" s="75"/>
      <c r="Q6" s="75"/>
      <c r="R6" s="15"/>
    </row>
    <row r="7" spans="1:20" ht="27.75" customHeight="1" x14ac:dyDescent="0.3">
      <c r="A7" s="75">
        <v>1</v>
      </c>
      <c r="B7" s="81" t="s">
        <v>40</v>
      </c>
      <c r="C7" s="30" t="s">
        <v>16</v>
      </c>
      <c r="D7" s="36"/>
      <c r="E7" s="66">
        <f>ROUND(183.85*365,0)</f>
        <v>67105</v>
      </c>
      <c r="F7" s="36"/>
      <c r="G7" s="36"/>
      <c r="H7" s="36"/>
      <c r="I7" s="36"/>
      <c r="J7" s="36"/>
      <c r="K7" s="36"/>
      <c r="L7" s="36"/>
      <c r="M7" s="36"/>
      <c r="N7" s="66">
        <f>ROUND(38.35*365,0)</f>
        <v>13998</v>
      </c>
      <c r="O7" s="36"/>
      <c r="P7" s="66">
        <f>ROUND(29.22*365,0)</f>
        <v>10665</v>
      </c>
      <c r="Q7" s="66">
        <f t="shared" ref="Q7:Q12" si="0">SUM(D7:P7)</f>
        <v>91768</v>
      </c>
      <c r="R7" s="15"/>
    </row>
    <row r="8" spans="1:20" ht="24.75" customHeight="1" x14ac:dyDescent="0.35">
      <c r="A8" s="75"/>
      <c r="B8" s="81"/>
      <c r="C8" s="30" t="s">
        <v>41</v>
      </c>
      <c r="D8" s="36"/>
      <c r="E8" s="66">
        <f>ROUND(34.6*365,0)</f>
        <v>12629</v>
      </c>
      <c r="F8" s="36"/>
      <c r="G8" s="36"/>
      <c r="H8" s="36"/>
      <c r="I8" s="36"/>
      <c r="J8" s="36"/>
      <c r="K8" s="36"/>
      <c r="L8" s="36"/>
      <c r="M8" s="36"/>
      <c r="N8" s="66">
        <f>ROUND(35.19*365,0)</f>
        <v>12844</v>
      </c>
      <c r="O8" s="36"/>
      <c r="P8" s="66">
        <f>ROUND(278.4*365+1,0)</f>
        <v>101617</v>
      </c>
      <c r="Q8" s="66">
        <f t="shared" si="0"/>
        <v>127090</v>
      </c>
      <c r="R8" s="15"/>
      <c r="T8" s="44"/>
    </row>
    <row r="9" spans="1:20" ht="22.5" customHeight="1" x14ac:dyDescent="0.3">
      <c r="A9" s="75"/>
      <c r="B9" s="81"/>
      <c r="C9" s="30" t="s">
        <v>42</v>
      </c>
      <c r="D9" s="66">
        <f>ROUND((269.71*2.9/100)*365,0)</f>
        <v>2855</v>
      </c>
      <c r="E9" s="66">
        <f>ROUND((269.71*34.9/100)*365,0)+1924</f>
        <v>36281</v>
      </c>
      <c r="F9" s="36"/>
      <c r="G9" s="36"/>
      <c r="H9" s="36"/>
      <c r="I9" s="36"/>
      <c r="J9" s="36"/>
      <c r="K9" s="36"/>
      <c r="L9" s="36"/>
      <c r="M9" s="33">
        <f>ROUND(0.94*365,0)</f>
        <v>343</v>
      </c>
      <c r="N9" s="66">
        <f>ROUND((345.47-275.92)*365,0)</f>
        <v>25386</v>
      </c>
      <c r="O9" s="36"/>
      <c r="P9" s="66">
        <f>ROUND((269.71*62.2/100)*365,0)</f>
        <v>61232</v>
      </c>
      <c r="Q9" s="66">
        <f t="shared" si="0"/>
        <v>126097</v>
      </c>
      <c r="R9" s="15"/>
    </row>
    <row r="10" spans="1:20" ht="24.75" customHeight="1" x14ac:dyDescent="0.3">
      <c r="A10" s="75">
        <v>2</v>
      </c>
      <c r="B10" s="81" t="s">
        <v>43</v>
      </c>
      <c r="C10" s="30" t="s">
        <v>16</v>
      </c>
      <c r="D10" s="36"/>
      <c r="E10" s="36"/>
      <c r="F10" s="36"/>
      <c r="G10" s="36"/>
      <c r="H10" s="36">
        <f>ROUND(303*0.18,0)</f>
        <v>55</v>
      </c>
      <c r="I10" s="36"/>
      <c r="J10" s="36"/>
      <c r="K10" s="36"/>
      <c r="L10" s="36"/>
      <c r="M10" s="45"/>
      <c r="N10" s="36"/>
      <c r="O10" s="36"/>
      <c r="P10" s="66">
        <f>ROUND(303*0.82,0)</f>
        <v>248</v>
      </c>
      <c r="Q10" s="66">
        <f t="shared" si="0"/>
        <v>303</v>
      </c>
      <c r="R10" s="15"/>
    </row>
    <row r="11" spans="1:20" ht="25.5" customHeight="1" x14ac:dyDescent="0.3">
      <c r="A11" s="75"/>
      <c r="B11" s="81"/>
      <c r="C11" s="30" t="s">
        <v>41</v>
      </c>
      <c r="D11" s="36"/>
      <c r="E11" s="36"/>
      <c r="F11" s="36">
        <f>ROUND(342*0.11,0)</f>
        <v>38</v>
      </c>
      <c r="G11" s="36"/>
      <c r="H11" s="36">
        <f>ROUND(342*0.51,0)</f>
        <v>174</v>
      </c>
      <c r="I11" s="36"/>
      <c r="J11" s="36"/>
      <c r="K11" s="36"/>
      <c r="L11" s="36"/>
      <c r="M11" s="45"/>
      <c r="N11" s="36"/>
      <c r="O11" s="36"/>
      <c r="P11" s="66">
        <f>ROUND(342*0.38,0)</f>
        <v>130</v>
      </c>
      <c r="Q11" s="66">
        <f t="shared" si="0"/>
        <v>342</v>
      </c>
      <c r="R11" s="15"/>
    </row>
    <row r="12" spans="1:20" ht="22.5" customHeight="1" x14ac:dyDescent="0.3">
      <c r="A12" s="75"/>
      <c r="B12" s="81"/>
      <c r="C12" s="30" t="s">
        <v>42</v>
      </c>
      <c r="D12" s="36"/>
      <c r="E12" s="36"/>
      <c r="F12" s="36">
        <f>ROUND(315*0.08,0)</f>
        <v>25</v>
      </c>
      <c r="G12" s="36"/>
      <c r="H12" s="36">
        <f>ROUND(315*0.48,0)</f>
        <v>151</v>
      </c>
      <c r="I12" s="36"/>
      <c r="J12" s="36"/>
      <c r="K12" s="36"/>
      <c r="L12" s="36"/>
      <c r="M12" s="45"/>
      <c r="N12" s="36"/>
      <c r="O12" s="36"/>
      <c r="P12" s="66">
        <f>ROUND(315*0.44,0)</f>
        <v>139</v>
      </c>
      <c r="Q12" s="66">
        <f t="shared" si="0"/>
        <v>315</v>
      </c>
      <c r="R12" s="15"/>
    </row>
    <row r="13" spans="1:20" ht="27" customHeight="1" x14ac:dyDescent="0.3">
      <c r="A13" s="75">
        <v>3</v>
      </c>
      <c r="B13" s="81" t="s">
        <v>44</v>
      </c>
      <c r="C13" s="30" t="s">
        <v>16</v>
      </c>
      <c r="D13" s="45">
        <f>ROUND(0.0009*1.1,0)</f>
        <v>0</v>
      </c>
      <c r="E13" s="36"/>
      <c r="F13" s="36"/>
      <c r="G13" s="33">
        <f>ROUND(0.0193,0)</f>
        <v>0</v>
      </c>
      <c r="H13" s="36"/>
      <c r="I13" s="36"/>
      <c r="J13" s="36"/>
      <c r="K13" s="36"/>
      <c r="L13" s="36"/>
      <c r="M13" s="45"/>
      <c r="N13" s="36"/>
      <c r="O13" s="36"/>
      <c r="P13" s="33"/>
      <c r="Q13" s="33">
        <f>SUM(D13:P13)</f>
        <v>0</v>
      </c>
      <c r="R13" s="15"/>
    </row>
    <row r="14" spans="1:20" ht="25.5" customHeight="1" x14ac:dyDescent="0.3">
      <c r="A14" s="75"/>
      <c r="B14" s="81"/>
      <c r="C14" s="30" t="s">
        <v>41</v>
      </c>
      <c r="D14" s="33">
        <f>ROUND(0.00378*365,0)</f>
        <v>1</v>
      </c>
      <c r="E14" s="36"/>
      <c r="F14" s="36"/>
      <c r="G14" s="33">
        <f>ROUND(0.052*365,0)</f>
        <v>19</v>
      </c>
      <c r="H14" s="36"/>
      <c r="I14" s="36"/>
      <c r="J14" s="36"/>
      <c r="K14" s="36"/>
      <c r="L14" s="36"/>
      <c r="M14" s="45"/>
      <c r="N14" s="36"/>
      <c r="O14" s="36"/>
      <c r="P14" s="33"/>
      <c r="Q14" s="66">
        <f>SUM(D14:P14)</f>
        <v>20</v>
      </c>
      <c r="R14" s="15"/>
    </row>
    <row r="15" spans="1:20" ht="24" customHeight="1" x14ac:dyDescent="0.3">
      <c r="A15" s="75"/>
      <c r="B15" s="81"/>
      <c r="C15" s="30" t="s">
        <v>42</v>
      </c>
      <c r="D15" s="33">
        <f>ROUND(0.00857*365,0)</f>
        <v>3</v>
      </c>
      <c r="E15" s="36"/>
      <c r="F15" s="36"/>
      <c r="G15" s="33">
        <f>ROUND(0.1315*365,0)</f>
        <v>48</v>
      </c>
      <c r="H15" s="36"/>
      <c r="I15" s="36"/>
      <c r="J15" s="36"/>
      <c r="K15" s="36"/>
      <c r="L15" s="36"/>
      <c r="M15" s="45"/>
      <c r="N15" s="36"/>
      <c r="O15" s="36"/>
      <c r="P15" s="33"/>
      <c r="Q15" s="66">
        <f>SUM(D15:P15)</f>
        <v>51</v>
      </c>
      <c r="R15" s="15"/>
    </row>
    <row r="16" spans="1:20" ht="27" customHeight="1" x14ac:dyDescent="0.3">
      <c r="A16" s="75">
        <v>4</v>
      </c>
      <c r="B16" s="81" t="s">
        <v>58</v>
      </c>
      <c r="C16" s="30" t="s">
        <v>16</v>
      </c>
      <c r="D16" s="36"/>
      <c r="E16" s="36"/>
      <c r="F16" s="36"/>
      <c r="G16" s="36">
        <v>25</v>
      </c>
      <c r="H16" s="36"/>
      <c r="I16" s="36"/>
      <c r="J16" s="36"/>
      <c r="K16" s="36"/>
      <c r="L16" s="36"/>
      <c r="M16" s="45"/>
      <c r="N16" s="36"/>
      <c r="O16" s="36"/>
      <c r="P16" s="33"/>
      <c r="Q16" s="66">
        <f t="shared" ref="Q16:Q20" si="1">SUM(D16:P16)</f>
        <v>25</v>
      </c>
      <c r="R16" s="15"/>
    </row>
    <row r="17" spans="1:18" ht="25.5" customHeight="1" x14ac:dyDescent="0.3">
      <c r="A17" s="75"/>
      <c r="B17" s="81"/>
      <c r="C17" s="30" t="s">
        <v>41</v>
      </c>
      <c r="D17" s="36"/>
      <c r="E17" s="36"/>
      <c r="F17" s="36"/>
      <c r="G17" s="36">
        <v>3</v>
      </c>
      <c r="H17" s="36"/>
      <c r="I17" s="36"/>
      <c r="J17" s="36"/>
      <c r="K17" s="36"/>
      <c r="L17" s="36"/>
      <c r="M17" s="45"/>
      <c r="N17" s="36"/>
      <c r="O17" s="36"/>
      <c r="P17" s="33"/>
      <c r="Q17" s="66">
        <f t="shared" si="1"/>
        <v>3</v>
      </c>
      <c r="R17" s="15"/>
    </row>
    <row r="18" spans="1:18" ht="24" customHeight="1" x14ac:dyDescent="0.3">
      <c r="A18" s="75"/>
      <c r="B18" s="81"/>
      <c r="C18" s="30" t="s">
        <v>42</v>
      </c>
      <c r="D18" s="36"/>
      <c r="E18" s="36"/>
      <c r="F18" s="36"/>
      <c r="G18" s="36">
        <v>19</v>
      </c>
      <c r="H18" s="36"/>
      <c r="I18" s="36"/>
      <c r="J18" s="36"/>
      <c r="K18" s="36"/>
      <c r="L18" s="36"/>
      <c r="M18" s="45"/>
      <c r="N18" s="36"/>
      <c r="O18" s="36"/>
      <c r="P18" s="33"/>
      <c r="Q18" s="66">
        <f t="shared" si="1"/>
        <v>19</v>
      </c>
      <c r="R18" s="15"/>
    </row>
    <row r="19" spans="1:18" ht="24.75" customHeight="1" x14ac:dyDescent="0.3">
      <c r="A19" s="75">
        <v>5</v>
      </c>
      <c r="B19" s="81" t="s">
        <v>66</v>
      </c>
      <c r="C19" s="30" t="s">
        <v>16</v>
      </c>
      <c r="D19" s="36"/>
      <c r="E19" s="33">
        <f>ROUND(0.0364*365,0)</f>
        <v>13</v>
      </c>
      <c r="F19" s="36"/>
      <c r="G19" s="36"/>
      <c r="H19" s="36"/>
      <c r="I19" s="36"/>
      <c r="J19" s="36"/>
      <c r="K19" s="36"/>
      <c r="L19" s="36"/>
      <c r="M19" s="45"/>
      <c r="N19" s="36"/>
      <c r="O19" s="36"/>
      <c r="P19" s="33"/>
      <c r="Q19" s="66">
        <f t="shared" si="1"/>
        <v>13</v>
      </c>
      <c r="R19" s="15"/>
    </row>
    <row r="20" spans="1:18" ht="36" customHeight="1" x14ac:dyDescent="0.3">
      <c r="A20" s="75"/>
      <c r="B20" s="81"/>
      <c r="C20" s="30" t="s">
        <v>41</v>
      </c>
      <c r="D20" s="33">
        <f>7908*0.05</f>
        <v>395.40000000000003</v>
      </c>
      <c r="E20" s="36"/>
      <c r="F20" s="33">
        <v>395</v>
      </c>
      <c r="G20" s="66">
        <f>7908-D20-F20</f>
        <v>7117.6</v>
      </c>
      <c r="H20" s="33"/>
      <c r="I20" s="33"/>
      <c r="J20" s="33"/>
      <c r="K20" s="33"/>
      <c r="L20" s="33"/>
      <c r="M20" s="33"/>
      <c r="N20" s="33"/>
      <c r="O20" s="33"/>
      <c r="P20" s="33"/>
      <c r="Q20" s="66">
        <f t="shared" si="1"/>
        <v>7908</v>
      </c>
      <c r="R20" s="15"/>
    </row>
    <row r="21" spans="1:18" ht="33.75" customHeight="1" x14ac:dyDescent="0.3">
      <c r="A21" s="75"/>
      <c r="B21" s="81"/>
      <c r="C21" s="30" t="s">
        <v>42</v>
      </c>
      <c r="D21" s="33">
        <f>ROUND(0.003*365,0)</f>
        <v>1</v>
      </c>
      <c r="E21" s="36"/>
      <c r="F21" s="33">
        <f>ROUND(0.0164*365,0)</f>
        <v>6</v>
      </c>
      <c r="G21" s="33">
        <f>ROUND(0.768*365,0)+85</f>
        <v>365</v>
      </c>
      <c r="H21" s="33"/>
      <c r="I21" s="33"/>
      <c r="J21" s="33"/>
      <c r="K21" s="33"/>
      <c r="L21" s="33"/>
      <c r="M21" s="66">
        <f>ROUND(3.13*365,0)</f>
        <v>1142</v>
      </c>
      <c r="N21" s="33"/>
      <c r="O21" s="33"/>
      <c r="P21" s="46"/>
      <c r="Q21" s="66">
        <f>SUM(D21:P21)</f>
        <v>1514</v>
      </c>
      <c r="R21" s="15"/>
    </row>
    <row r="22" spans="1:18" ht="100.5" customHeight="1" x14ac:dyDescent="0.3">
      <c r="A22" s="72" t="s">
        <v>88</v>
      </c>
      <c r="B22" s="72"/>
      <c r="C22" s="72"/>
      <c r="D22" s="72"/>
      <c r="E22" s="72"/>
      <c r="F22" s="72"/>
      <c r="G22" s="72"/>
      <c r="H22" s="72"/>
      <c r="I22" s="72"/>
      <c r="J22" s="72"/>
      <c r="K22" s="72"/>
      <c r="L22" s="72"/>
      <c r="M22" s="72"/>
      <c r="N22" s="72"/>
      <c r="O22" s="72"/>
      <c r="P22" s="72"/>
      <c r="Q22" s="72"/>
      <c r="R22" s="15"/>
    </row>
    <row r="34" spans="7:7" x14ac:dyDescent="0.3">
      <c r="G34" s="2">
        <v>0</v>
      </c>
    </row>
  </sheetData>
  <mergeCells count="31">
    <mergeCell ref="B5:B6"/>
    <mergeCell ref="H5:H6"/>
    <mergeCell ref="I5:I6"/>
    <mergeCell ref="J5:J6"/>
    <mergeCell ref="A1:Q1"/>
    <mergeCell ref="Q4:Q6"/>
    <mergeCell ref="C5:C6"/>
    <mergeCell ref="D5:E5"/>
    <mergeCell ref="F5:F6"/>
    <mergeCell ref="G5:G6"/>
    <mergeCell ref="K5:K6"/>
    <mergeCell ref="L5:L6"/>
    <mergeCell ref="M5:M6"/>
    <mergeCell ref="A4:A6"/>
    <mergeCell ref="B4:P4"/>
    <mergeCell ref="A22:Q22"/>
    <mergeCell ref="A2:Q2"/>
    <mergeCell ref="A3:Q3"/>
    <mergeCell ref="A13:A15"/>
    <mergeCell ref="B13:B15"/>
    <mergeCell ref="A16:A18"/>
    <mergeCell ref="B16:B18"/>
    <mergeCell ref="A19:A21"/>
    <mergeCell ref="B19:B21"/>
    <mergeCell ref="N5:N6"/>
    <mergeCell ref="O5:O6"/>
    <mergeCell ref="P5:P6"/>
    <mergeCell ref="A7:A9"/>
    <mergeCell ref="B7:B9"/>
    <mergeCell ref="A10:A12"/>
    <mergeCell ref="B10:B12"/>
  </mergeCells>
  <conditionalFormatting sqref="C7:Q21">
    <cfRule type="expression" dxfId="6" priority="1">
      <formula>MOD(ROW(),2)=0</formula>
    </cfRule>
  </conditionalFormatting>
  <printOptions horizontalCentered="1"/>
  <pageMargins left="0.19685039370078741" right="0.39370078740157483" top="0.59055118110236227" bottom="0.39370078740157483" header="0.31496062992125984" footer="0.31496062992125984"/>
  <pageSetup paperSize="9" scale="59" orientation="landscape" r:id="rId1"/>
  <headerFooter>
    <oddFooter>&amp;CA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7E8DE-1DE3-4385-A2A6-FC974B30714A}">
  <sheetPr>
    <pageSetUpPr fitToPage="1"/>
  </sheetPr>
  <dimension ref="A1:T18"/>
  <sheetViews>
    <sheetView view="pageBreakPreview" zoomScale="50" zoomScaleNormal="100" zoomScaleSheetLayoutView="50" workbookViewId="0">
      <selection sqref="A1:K1"/>
    </sheetView>
  </sheetViews>
  <sheetFormatPr defaultColWidth="9.140625" defaultRowHeight="16.5" x14ac:dyDescent="0.3"/>
  <cols>
    <col min="1" max="1" width="6.28515625" style="2" customWidth="1"/>
    <col min="2" max="2" width="15" style="2" customWidth="1"/>
    <col min="3" max="3" width="10.42578125" style="2" customWidth="1"/>
    <col min="4" max="4" width="13.5703125" style="2" customWidth="1"/>
    <col min="5" max="5" width="14" style="2" customWidth="1"/>
    <col min="6" max="6" width="15.7109375" style="2" customWidth="1"/>
    <col min="7" max="7" width="11" style="2" customWidth="1"/>
    <col min="8" max="8" width="16.42578125" style="2" customWidth="1"/>
    <col min="9" max="9" width="10.85546875" style="2" customWidth="1"/>
    <col min="10" max="10" width="15.42578125" style="2" customWidth="1"/>
    <col min="11" max="11" width="15.140625" style="2" customWidth="1"/>
    <col min="12" max="16384" width="9.140625" style="2"/>
  </cols>
  <sheetData>
    <row r="1" spans="1:20" ht="18" x14ac:dyDescent="0.3">
      <c r="A1" s="108" t="s">
        <v>96</v>
      </c>
      <c r="B1" s="108"/>
      <c r="C1" s="108"/>
      <c r="D1" s="108"/>
      <c r="E1" s="108"/>
      <c r="F1" s="108"/>
      <c r="G1" s="108"/>
      <c r="H1" s="108"/>
      <c r="I1" s="108"/>
      <c r="J1" s="108"/>
      <c r="K1" s="108"/>
    </row>
    <row r="2" spans="1:20" ht="17.25" customHeight="1" x14ac:dyDescent="0.3">
      <c r="A2" s="87" t="s">
        <v>89</v>
      </c>
      <c r="B2" s="87"/>
      <c r="C2" s="87"/>
      <c r="D2" s="87"/>
      <c r="E2" s="87"/>
      <c r="F2" s="87"/>
      <c r="G2" s="87"/>
      <c r="H2" s="87"/>
      <c r="I2" s="87"/>
      <c r="J2" s="87"/>
      <c r="K2" s="87"/>
    </row>
    <row r="3" spans="1:20" ht="18" x14ac:dyDescent="0.3">
      <c r="A3" s="74" t="s">
        <v>46</v>
      </c>
      <c r="B3" s="74"/>
      <c r="C3" s="74"/>
      <c r="D3" s="74"/>
      <c r="E3" s="74"/>
      <c r="F3" s="74"/>
      <c r="G3" s="74"/>
      <c r="H3" s="74"/>
      <c r="I3" s="74"/>
      <c r="J3" s="74"/>
      <c r="K3" s="74"/>
    </row>
    <row r="4" spans="1:20" ht="15" customHeight="1" x14ac:dyDescent="0.3">
      <c r="A4" s="77" t="s">
        <v>106</v>
      </c>
      <c r="B4" s="77" t="s">
        <v>31</v>
      </c>
      <c r="C4" s="77"/>
      <c r="D4" s="77"/>
      <c r="E4" s="77"/>
      <c r="F4" s="77"/>
      <c r="G4" s="77"/>
      <c r="H4" s="77"/>
      <c r="I4" s="77"/>
      <c r="J4" s="77"/>
      <c r="K4" s="77" t="s">
        <v>64</v>
      </c>
    </row>
    <row r="5" spans="1:20" ht="48" customHeight="1" x14ac:dyDescent="0.3">
      <c r="A5" s="77"/>
      <c r="B5" s="29" t="s">
        <v>32</v>
      </c>
      <c r="C5" s="29" t="s">
        <v>33</v>
      </c>
      <c r="D5" s="29" t="s">
        <v>34</v>
      </c>
      <c r="E5" s="29" t="s">
        <v>35</v>
      </c>
      <c r="F5" s="29" t="s">
        <v>60</v>
      </c>
      <c r="G5" s="29" t="s">
        <v>36</v>
      </c>
      <c r="H5" s="29" t="s">
        <v>37</v>
      </c>
      <c r="I5" s="29" t="s">
        <v>38</v>
      </c>
      <c r="J5" s="29" t="s">
        <v>73</v>
      </c>
      <c r="K5" s="77"/>
    </row>
    <row r="6" spans="1:20" ht="18" x14ac:dyDescent="0.35">
      <c r="A6" s="75">
        <v>1</v>
      </c>
      <c r="B6" s="81" t="s">
        <v>40</v>
      </c>
      <c r="C6" s="30" t="s">
        <v>16</v>
      </c>
      <c r="D6" s="37">
        <v>1813747</v>
      </c>
      <c r="E6" s="37"/>
      <c r="F6" s="37">
        <v>604582</v>
      </c>
      <c r="G6" s="37"/>
      <c r="H6" s="37"/>
      <c r="I6" s="37"/>
      <c r="J6" s="37"/>
      <c r="K6" s="37">
        <f>SUM(D6:J6)</f>
        <v>2418329</v>
      </c>
    </row>
    <row r="7" spans="1:20" ht="18" x14ac:dyDescent="0.35">
      <c r="A7" s="75"/>
      <c r="B7" s="81"/>
      <c r="C7" s="30" t="s">
        <v>41</v>
      </c>
      <c r="D7" s="37">
        <v>1824574</v>
      </c>
      <c r="E7" s="37"/>
      <c r="F7" s="37">
        <v>608191</v>
      </c>
      <c r="G7" s="37"/>
      <c r="H7" s="37"/>
      <c r="I7" s="37"/>
      <c r="J7" s="37"/>
      <c r="K7" s="37">
        <f t="shared" ref="K7:K14" si="0">SUM(D7:J7)</f>
        <v>2432765</v>
      </c>
    </row>
    <row r="8" spans="1:20" ht="18" x14ac:dyDescent="0.35">
      <c r="A8" s="75"/>
      <c r="B8" s="81"/>
      <c r="C8" s="30" t="s">
        <v>42</v>
      </c>
      <c r="D8" s="37">
        <v>1888098</v>
      </c>
      <c r="E8" s="37"/>
      <c r="F8" s="37">
        <v>629366</v>
      </c>
      <c r="G8" s="37"/>
      <c r="H8" s="37"/>
      <c r="I8" s="37"/>
      <c r="J8" s="37"/>
      <c r="K8" s="37">
        <f t="shared" si="0"/>
        <v>2517464</v>
      </c>
      <c r="T8" s="23"/>
    </row>
    <row r="9" spans="1:20" ht="18" x14ac:dyDescent="0.35">
      <c r="A9" s="75">
        <v>2</v>
      </c>
      <c r="B9" s="81" t="s">
        <v>43</v>
      </c>
      <c r="C9" s="30" t="s">
        <v>16</v>
      </c>
      <c r="D9" s="37"/>
      <c r="E9" s="37">
        <v>8126</v>
      </c>
      <c r="F9" s="37"/>
      <c r="G9" s="37"/>
      <c r="H9" s="37"/>
      <c r="I9" s="37"/>
      <c r="J9" s="37"/>
      <c r="K9" s="37">
        <f t="shared" si="0"/>
        <v>8126</v>
      </c>
    </row>
    <row r="10" spans="1:20" ht="18" x14ac:dyDescent="0.35">
      <c r="A10" s="75"/>
      <c r="B10" s="81"/>
      <c r="C10" s="30" t="s">
        <v>41</v>
      </c>
      <c r="D10" s="37"/>
      <c r="E10" s="37">
        <v>7550</v>
      </c>
      <c r="F10" s="37"/>
      <c r="G10" s="37"/>
      <c r="H10" s="37"/>
      <c r="I10" s="37"/>
      <c r="J10" s="37"/>
      <c r="K10" s="37">
        <f t="shared" si="0"/>
        <v>7550</v>
      </c>
    </row>
    <row r="11" spans="1:20" ht="18" x14ac:dyDescent="0.35">
      <c r="A11" s="75"/>
      <c r="B11" s="81"/>
      <c r="C11" s="30" t="s">
        <v>42</v>
      </c>
      <c r="D11" s="37"/>
      <c r="E11" s="37">
        <v>6903</v>
      </c>
      <c r="F11" s="37"/>
      <c r="G11" s="37"/>
      <c r="H11" s="37"/>
      <c r="I11" s="37"/>
      <c r="J11" s="37"/>
      <c r="K11" s="37">
        <f t="shared" si="0"/>
        <v>6903</v>
      </c>
    </row>
    <row r="12" spans="1:20" ht="18" x14ac:dyDescent="0.35">
      <c r="A12" s="75">
        <v>3</v>
      </c>
      <c r="B12" s="81" t="s">
        <v>44</v>
      </c>
      <c r="C12" s="30" t="s">
        <v>16</v>
      </c>
      <c r="D12" s="37"/>
      <c r="E12" s="37">
        <v>562464</v>
      </c>
      <c r="F12" s="37"/>
      <c r="G12" s="40">
        <v>780532</v>
      </c>
      <c r="H12" s="37"/>
      <c r="I12" s="37"/>
      <c r="J12" s="37">
        <v>27174</v>
      </c>
      <c r="K12" s="37">
        <f t="shared" si="0"/>
        <v>1370170</v>
      </c>
    </row>
    <row r="13" spans="1:20" ht="18" x14ac:dyDescent="0.35">
      <c r="A13" s="75"/>
      <c r="B13" s="81"/>
      <c r="C13" s="30" t="s">
        <v>41</v>
      </c>
      <c r="D13" s="37"/>
      <c r="E13" s="37">
        <v>587554</v>
      </c>
      <c r="F13" s="37"/>
      <c r="G13" s="37">
        <v>346079</v>
      </c>
      <c r="H13" s="37"/>
      <c r="I13" s="37"/>
      <c r="J13" s="37">
        <v>18627</v>
      </c>
      <c r="K13" s="37">
        <f t="shared" si="0"/>
        <v>952260</v>
      </c>
    </row>
    <row r="14" spans="1:20" ht="18" x14ac:dyDescent="0.35">
      <c r="A14" s="75"/>
      <c r="B14" s="81"/>
      <c r="C14" s="30" t="s">
        <v>42</v>
      </c>
      <c r="D14" s="37"/>
      <c r="E14" s="37">
        <v>643861</v>
      </c>
      <c r="F14" s="37"/>
      <c r="G14" s="37">
        <v>469983</v>
      </c>
      <c r="H14" s="37"/>
      <c r="I14" s="37"/>
      <c r="J14" s="37">
        <v>18443</v>
      </c>
      <c r="K14" s="37">
        <f t="shared" si="0"/>
        <v>1132287</v>
      </c>
    </row>
    <row r="15" spans="1:20" ht="18" x14ac:dyDescent="0.35">
      <c r="A15" s="75">
        <v>4</v>
      </c>
      <c r="B15" s="81" t="s">
        <v>45</v>
      </c>
      <c r="C15" s="30" t="s">
        <v>16</v>
      </c>
      <c r="D15" s="47"/>
      <c r="E15" s="48">
        <v>8478</v>
      </c>
      <c r="F15" s="47"/>
      <c r="G15" s="37"/>
      <c r="H15" s="37"/>
      <c r="I15" s="37"/>
      <c r="J15" s="37"/>
      <c r="K15" s="37">
        <f>SUM(D15:J15)</f>
        <v>8478</v>
      </c>
    </row>
    <row r="16" spans="1:20" ht="18" x14ac:dyDescent="0.35">
      <c r="A16" s="75"/>
      <c r="B16" s="81"/>
      <c r="C16" s="30" t="s">
        <v>41</v>
      </c>
      <c r="D16" s="47"/>
      <c r="E16" s="48">
        <v>17028</v>
      </c>
      <c r="F16" s="47"/>
      <c r="G16" s="37"/>
      <c r="H16" s="37"/>
      <c r="I16" s="37"/>
      <c r="J16" s="37"/>
      <c r="K16" s="37">
        <f>SUM(D16:J16)</f>
        <v>17028</v>
      </c>
    </row>
    <row r="17" spans="1:11" ht="18" x14ac:dyDescent="0.35">
      <c r="A17" s="75"/>
      <c r="B17" s="81"/>
      <c r="C17" s="30" t="s">
        <v>42</v>
      </c>
      <c r="D17" s="47"/>
      <c r="E17" s="48">
        <v>20817</v>
      </c>
      <c r="F17" s="47"/>
      <c r="G17" s="37"/>
      <c r="H17" s="37"/>
      <c r="I17" s="37"/>
      <c r="J17" s="37"/>
      <c r="K17" s="37">
        <f>SUM(D17:J17)</f>
        <v>20817</v>
      </c>
    </row>
    <row r="18" spans="1:11" ht="81" customHeight="1" x14ac:dyDescent="0.3">
      <c r="A18" s="72" t="s">
        <v>91</v>
      </c>
      <c r="B18" s="72"/>
      <c r="C18" s="72"/>
      <c r="D18" s="72"/>
      <c r="E18" s="72"/>
      <c r="F18" s="72"/>
      <c r="G18" s="72"/>
      <c r="H18" s="72"/>
      <c r="I18" s="72"/>
      <c r="J18" s="72"/>
      <c r="K18" s="72"/>
    </row>
  </sheetData>
  <mergeCells count="15">
    <mergeCell ref="A18:K18"/>
    <mergeCell ref="A1:K1"/>
    <mergeCell ref="A2:K2"/>
    <mergeCell ref="A3:K3"/>
    <mergeCell ref="A15:A17"/>
    <mergeCell ref="B15:B17"/>
    <mergeCell ref="A9:A11"/>
    <mergeCell ref="B9:B11"/>
    <mergeCell ref="A12:A14"/>
    <mergeCell ref="B12:B14"/>
    <mergeCell ref="A4:A5"/>
    <mergeCell ref="B4:J4"/>
    <mergeCell ref="K4:K5"/>
    <mergeCell ref="A6:A8"/>
    <mergeCell ref="B6:B8"/>
  </mergeCells>
  <conditionalFormatting sqref="C6:K17">
    <cfRule type="expression" dxfId="5" priority="1">
      <formula>MOD(ROW(),2)=0</formula>
    </cfRule>
  </conditionalFormatting>
  <printOptions horizontalCentered="1"/>
  <pageMargins left="0.19685039370078741" right="0.39370078740157483" top="0.59055118110236227" bottom="0.39370078740157483" header="0.31496062992125984" footer="0.31496062992125984"/>
  <pageSetup paperSize="9" scale="98" orientation="landscape" r:id="rId1"/>
  <headerFooter>
    <oddFooter>&amp;CA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63CB5-03B2-41FF-9D1C-A50B69ED904F}">
  <sheetPr>
    <pageSetUpPr fitToPage="1"/>
  </sheetPr>
  <dimension ref="A1:T19"/>
  <sheetViews>
    <sheetView view="pageBreakPreview" zoomScale="50" zoomScaleNormal="90" zoomScaleSheetLayoutView="50" workbookViewId="0">
      <selection sqref="A1:Q1"/>
    </sheetView>
  </sheetViews>
  <sheetFormatPr defaultColWidth="9.140625" defaultRowHeight="16.5" x14ac:dyDescent="0.3"/>
  <cols>
    <col min="1" max="1" width="6" style="3" customWidth="1"/>
    <col min="2" max="2" width="12.7109375" style="2" customWidth="1"/>
    <col min="3" max="3" width="10.5703125" style="2" customWidth="1"/>
    <col min="4" max="4" width="11.7109375" style="2" customWidth="1"/>
    <col min="5" max="5" width="11.28515625" style="2" customWidth="1"/>
    <col min="6" max="6" width="14.140625" style="2" customWidth="1"/>
    <col min="7" max="7" width="11.42578125" style="2" customWidth="1"/>
    <col min="8" max="8" width="10.28515625" style="2" customWidth="1"/>
    <col min="9" max="9" width="13.5703125" style="2" customWidth="1"/>
    <col min="10" max="10" width="15.42578125" style="2" customWidth="1"/>
    <col min="11" max="11" width="17.28515625" style="2" customWidth="1"/>
    <col min="12" max="12" width="9.28515625" style="2" customWidth="1"/>
    <col min="13" max="13" width="9.85546875" style="2" customWidth="1"/>
    <col min="14" max="14" width="16.42578125" style="2" customWidth="1"/>
    <col min="15" max="15" width="13.42578125" style="2" customWidth="1"/>
    <col min="16" max="16" width="10.85546875" style="2" customWidth="1"/>
    <col min="17" max="17" width="10.7109375" style="2" customWidth="1"/>
    <col min="18" max="16384" width="9.140625" style="2"/>
  </cols>
  <sheetData>
    <row r="1" spans="1:20" ht="17.25" customHeight="1" x14ac:dyDescent="0.3">
      <c r="A1" s="108" t="s">
        <v>97</v>
      </c>
      <c r="B1" s="108"/>
      <c r="C1" s="108"/>
      <c r="D1" s="108"/>
      <c r="E1" s="108"/>
      <c r="F1" s="108"/>
      <c r="G1" s="108"/>
      <c r="H1" s="108"/>
      <c r="I1" s="108"/>
      <c r="J1" s="108"/>
      <c r="K1" s="108"/>
      <c r="L1" s="108"/>
      <c r="M1" s="108"/>
      <c r="N1" s="108"/>
      <c r="O1" s="108"/>
      <c r="P1" s="108"/>
      <c r="Q1" s="108"/>
    </row>
    <row r="2" spans="1:20" ht="17.25" customHeight="1" x14ac:dyDescent="0.3">
      <c r="A2" s="87" t="s">
        <v>92</v>
      </c>
      <c r="B2" s="87"/>
      <c r="C2" s="87"/>
      <c r="D2" s="87"/>
      <c r="E2" s="87"/>
      <c r="F2" s="87"/>
      <c r="G2" s="87"/>
      <c r="H2" s="87"/>
      <c r="I2" s="87"/>
      <c r="J2" s="87"/>
      <c r="K2" s="87"/>
      <c r="L2" s="87"/>
      <c r="M2" s="87"/>
      <c r="N2" s="87"/>
      <c r="O2" s="87"/>
      <c r="P2" s="87"/>
      <c r="Q2" s="87"/>
    </row>
    <row r="3" spans="1:20" ht="18" x14ac:dyDescent="0.3">
      <c r="A3" s="74" t="s">
        <v>46</v>
      </c>
      <c r="B3" s="74"/>
      <c r="C3" s="74"/>
      <c r="D3" s="74"/>
      <c r="E3" s="74"/>
      <c r="F3" s="74"/>
      <c r="G3" s="74"/>
      <c r="H3" s="74"/>
      <c r="I3" s="74"/>
      <c r="J3" s="74"/>
      <c r="K3" s="74"/>
      <c r="L3" s="74"/>
      <c r="M3" s="74"/>
      <c r="N3" s="74"/>
      <c r="O3" s="74"/>
      <c r="P3" s="74"/>
      <c r="Q3" s="74"/>
    </row>
    <row r="4" spans="1:20" ht="33.75" customHeight="1" x14ac:dyDescent="0.3">
      <c r="A4" s="75" t="s">
        <v>107</v>
      </c>
      <c r="B4" s="75" t="s">
        <v>47</v>
      </c>
      <c r="C4" s="75"/>
      <c r="D4" s="75"/>
      <c r="E4" s="75"/>
      <c r="F4" s="75"/>
      <c r="G4" s="75"/>
      <c r="H4" s="75"/>
      <c r="I4" s="75"/>
      <c r="J4" s="75"/>
      <c r="K4" s="75"/>
      <c r="L4" s="75"/>
      <c r="M4" s="75"/>
      <c r="N4" s="75"/>
      <c r="O4" s="75"/>
      <c r="P4" s="75"/>
      <c r="Q4" s="92" t="s">
        <v>24</v>
      </c>
    </row>
    <row r="5" spans="1:20" ht="33" customHeight="1" x14ac:dyDescent="0.3">
      <c r="A5" s="75"/>
      <c r="B5" s="75" t="s">
        <v>93</v>
      </c>
      <c r="C5" s="81" t="s">
        <v>33</v>
      </c>
      <c r="D5" s="75" t="s">
        <v>48</v>
      </c>
      <c r="E5" s="75"/>
      <c r="F5" s="75" t="s">
        <v>21</v>
      </c>
      <c r="G5" s="75" t="s">
        <v>22</v>
      </c>
      <c r="H5" s="75" t="s">
        <v>23</v>
      </c>
      <c r="I5" s="75" t="s">
        <v>49</v>
      </c>
      <c r="J5" s="75" t="s">
        <v>50</v>
      </c>
      <c r="K5" s="75" t="s">
        <v>51</v>
      </c>
      <c r="L5" s="75" t="s">
        <v>52</v>
      </c>
      <c r="M5" s="75" t="s">
        <v>53</v>
      </c>
      <c r="N5" s="75" t="s">
        <v>54</v>
      </c>
      <c r="O5" s="75" t="s">
        <v>67</v>
      </c>
      <c r="P5" s="75" t="s">
        <v>38</v>
      </c>
      <c r="Q5" s="92"/>
    </row>
    <row r="6" spans="1:20" ht="41.25" customHeight="1" x14ac:dyDescent="0.3">
      <c r="A6" s="75"/>
      <c r="B6" s="75"/>
      <c r="C6" s="81"/>
      <c r="D6" s="32" t="s">
        <v>56</v>
      </c>
      <c r="E6" s="32" t="s">
        <v>57</v>
      </c>
      <c r="F6" s="75"/>
      <c r="G6" s="75"/>
      <c r="H6" s="75"/>
      <c r="I6" s="75"/>
      <c r="J6" s="75"/>
      <c r="K6" s="75"/>
      <c r="L6" s="75"/>
      <c r="M6" s="75"/>
      <c r="N6" s="75"/>
      <c r="O6" s="75"/>
      <c r="P6" s="75"/>
      <c r="Q6" s="92"/>
    </row>
    <row r="7" spans="1:20" ht="24" customHeight="1" x14ac:dyDescent="0.35">
      <c r="A7" s="75">
        <v>1</v>
      </c>
      <c r="B7" s="81" t="s">
        <v>40</v>
      </c>
      <c r="C7" s="30" t="s">
        <v>16</v>
      </c>
      <c r="D7" s="40">
        <v>1528313</v>
      </c>
      <c r="E7" s="40"/>
      <c r="F7" s="40"/>
      <c r="G7" s="40">
        <v>284766</v>
      </c>
      <c r="H7" s="40"/>
      <c r="I7" s="40"/>
      <c r="J7" s="40"/>
      <c r="K7" s="40"/>
      <c r="L7" s="40"/>
      <c r="M7" s="40"/>
      <c r="N7" s="40">
        <v>605250.05000000005</v>
      </c>
      <c r="O7" s="40"/>
      <c r="P7" s="40"/>
      <c r="Q7" s="40">
        <f>SUM(D7:P7)</f>
        <v>2418329.0499999998</v>
      </c>
      <c r="R7" s="19"/>
    </row>
    <row r="8" spans="1:20" ht="23.25" customHeight="1" x14ac:dyDescent="0.35">
      <c r="A8" s="75"/>
      <c r="B8" s="81"/>
      <c r="C8" s="30" t="s">
        <v>41</v>
      </c>
      <c r="D8" s="40">
        <v>1866121</v>
      </c>
      <c r="E8" s="40"/>
      <c r="F8" s="40"/>
      <c r="G8" s="40">
        <v>434689</v>
      </c>
      <c r="H8" s="40"/>
      <c r="I8" s="40"/>
      <c r="J8" s="40"/>
      <c r="K8" s="40"/>
      <c r="L8" s="40"/>
      <c r="M8" s="40"/>
      <c r="N8" s="40">
        <v>131955.15</v>
      </c>
      <c r="O8" s="40"/>
      <c r="P8" s="40"/>
      <c r="Q8" s="40">
        <f t="shared" ref="Q8:Q18" si="0">SUM(D8:P8)</f>
        <v>2432765.15</v>
      </c>
      <c r="R8" s="19"/>
      <c r="T8" s="23"/>
    </row>
    <row r="9" spans="1:20" ht="24.75" customHeight="1" x14ac:dyDescent="0.35">
      <c r="A9" s="75"/>
      <c r="B9" s="81"/>
      <c r="C9" s="30" t="s">
        <v>42</v>
      </c>
      <c r="D9" s="40">
        <v>1854988</v>
      </c>
      <c r="E9" s="40"/>
      <c r="F9" s="40"/>
      <c r="G9" s="40">
        <v>441814</v>
      </c>
      <c r="H9" s="40"/>
      <c r="I9" s="40"/>
      <c r="J9" s="40"/>
      <c r="K9" s="40"/>
      <c r="L9" s="40"/>
      <c r="M9" s="40"/>
      <c r="N9" s="40">
        <v>220662</v>
      </c>
      <c r="O9" s="40"/>
      <c r="P9" s="40"/>
      <c r="Q9" s="40">
        <f t="shared" si="0"/>
        <v>2517464</v>
      </c>
      <c r="R9" s="19"/>
    </row>
    <row r="10" spans="1:20" ht="27" customHeight="1" x14ac:dyDescent="0.35">
      <c r="A10" s="75">
        <v>2</v>
      </c>
      <c r="B10" s="81" t="s">
        <v>43</v>
      </c>
      <c r="C10" s="30" t="s">
        <v>16</v>
      </c>
      <c r="D10" s="40"/>
      <c r="E10" s="40"/>
      <c r="F10" s="40">
        <v>6173</v>
      </c>
      <c r="G10" s="40"/>
      <c r="H10" s="40"/>
      <c r="I10" s="40"/>
      <c r="J10" s="40"/>
      <c r="K10" s="40"/>
      <c r="L10" s="40"/>
      <c r="M10" s="40"/>
      <c r="N10" s="40">
        <v>1953</v>
      </c>
      <c r="O10" s="40"/>
      <c r="P10" s="40">
        <v>0</v>
      </c>
      <c r="Q10" s="40">
        <f t="shared" si="0"/>
        <v>8126</v>
      </c>
      <c r="R10" s="19"/>
    </row>
    <row r="11" spans="1:20" ht="25.5" customHeight="1" x14ac:dyDescent="0.35">
      <c r="A11" s="75"/>
      <c r="B11" s="81"/>
      <c r="C11" s="30" t="s">
        <v>41</v>
      </c>
      <c r="D11" s="40"/>
      <c r="E11" s="40"/>
      <c r="F11" s="40">
        <v>5957</v>
      </c>
      <c r="G11" s="40"/>
      <c r="H11" s="40"/>
      <c r="I11" s="40"/>
      <c r="J11" s="40"/>
      <c r="K11" s="40"/>
      <c r="L11" s="40"/>
      <c r="M11" s="40"/>
      <c r="N11" s="40">
        <v>794</v>
      </c>
      <c r="O11" s="40"/>
      <c r="P11" s="49">
        <v>799</v>
      </c>
      <c r="Q11" s="40">
        <f t="shared" si="0"/>
        <v>7550</v>
      </c>
      <c r="R11" s="19"/>
    </row>
    <row r="12" spans="1:20" ht="23.25" customHeight="1" x14ac:dyDescent="0.35">
      <c r="A12" s="75"/>
      <c r="B12" s="81"/>
      <c r="C12" s="30" t="s">
        <v>42</v>
      </c>
      <c r="D12" s="40"/>
      <c r="E12" s="40"/>
      <c r="F12" s="40">
        <v>5651</v>
      </c>
      <c r="G12" s="40"/>
      <c r="H12" s="40"/>
      <c r="I12" s="40"/>
      <c r="J12" s="40"/>
      <c r="K12" s="40"/>
      <c r="L12" s="40"/>
      <c r="M12" s="40"/>
      <c r="N12" s="40"/>
      <c r="O12" s="40"/>
      <c r="P12" s="49">
        <v>1252</v>
      </c>
      <c r="Q12" s="40">
        <f t="shared" si="0"/>
        <v>6903</v>
      </c>
      <c r="R12" s="19"/>
    </row>
    <row r="13" spans="1:20" ht="24" customHeight="1" x14ac:dyDescent="0.35">
      <c r="A13" s="75">
        <v>3</v>
      </c>
      <c r="B13" s="81" t="s">
        <v>44</v>
      </c>
      <c r="C13" s="30" t="s">
        <v>16</v>
      </c>
      <c r="D13" s="40">
        <v>683408</v>
      </c>
      <c r="E13" s="40"/>
      <c r="F13" s="40">
        <v>1198</v>
      </c>
      <c r="G13" s="40">
        <v>90930</v>
      </c>
      <c r="H13" s="40">
        <f>564263-L13</f>
        <v>66272</v>
      </c>
      <c r="I13" s="40"/>
      <c r="J13" s="40"/>
      <c r="K13" s="40"/>
      <c r="L13" s="40">
        <v>497991</v>
      </c>
      <c r="M13" s="40">
        <v>11744</v>
      </c>
      <c r="N13" s="40"/>
      <c r="O13" s="40">
        <v>18627</v>
      </c>
      <c r="P13" s="40"/>
      <c r="Q13" s="40">
        <f t="shared" si="0"/>
        <v>1370170</v>
      </c>
      <c r="R13" s="19"/>
    </row>
    <row r="14" spans="1:20" ht="22.5" customHeight="1" x14ac:dyDescent="0.35">
      <c r="A14" s="75"/>
      <c r="B14" s="81"/>
      <c r="C14" s="30" t="s">
        <v>41</v>
      </c>
      <c r="D14" s="40">
        <v>507578</v>
      </c>
      <c r="E14" s="40"/>
      <c r="F14" s="40">
        <v>1552</v>
      </c>
      <c r="G14" s="40">
        <v>97922</v>
      </c>
      <c r="H14" s="40">
        <f>319536-L14</f>
        <v>35149</v>
      </c>
      <c r="I14" s="40"/>
      <c r="J14" s="40"/>
      <c r="K14" s="40"/>
      <c r="L14" s="40">
        <v>284387</v>
      </c>
      <c r="M14" s="40">
        <v>7229</v>
      </c>
      <c r="N14" s="40"/>
      <c r="O14" s="40">
        <v>18443</v>
      </c>
      <c r="P14" s="40"/>
      <c r="Q14" s="40">
        <f t="shared" si="0"/>
        <v>952260</v>
      </c>
      <c r="R14" s="19"/>
    </row>
    <row r="15" spans="1:20" ht="25.5" customHeight="1" x14ac:dyDescent="0.35">
      <c r="A15" s="75"/>
      <c r="B15" s="81"/>
      <c r="C15" s="30" t="s">
        <v>42</v>
      </c>
      <c r="D15" s="40">
        <v>182097</v>
      </c>
      <c r="E15" s="40"/>
      <c r="F15" s="40">
        <v>1737</v>
      </c>
      <c r="G15" s="40">
        <v>125127</v>
      </c>
      <c r="H15" s="40">
        <f>745420-L15</f>
        <v>205700</v>
      </c>
      <c r="I15" s="40"/>
      <c r="J15" s="40"/>
      <c r="K15" s="40"/>
      <c r="L15" s="40">
        <v>539720</v>
      </c>
      <c r="M15" s="40">
        <v>7092</v>
      </c>
      <c r="N15" s="40"/>
      <c r="O15" s="40">
        <v>70814</v>
      </c>
      <c r="P15" s="40"/>
      <c r="Q15" s="40">
        <f t="shared" si="0"/>
        <v>1132287</v>
      </c>
      <c r="R15" s="19"/>
    </row>
    <row r="16" spans="1:20" ht="25.5" customHeight="1" x14ac:dyDescent="0.35">
      <c r="A16" s="75">
        <v>4</v>
      </c>
      <c r="B16" s="81" t="s">
        <v>58</v>
      </c>
      <c r="C16" s="30" t="s">
        <v>16</v>
      </c>
      <c r="D16" s="40"/>
      <c r="E16" s="40"/>
      <c r="F16" s="40"/>
      <c r="G16" s="40">
        <v>6857</v>
      </c>
      <c r="H16" s="40"/>
      <c r="I16" s="40"/>
      <c r="J16" s="40"/>
      <c r="K16" s="40"/>
      <c r="L16" s="40"/>
      <c r="M16" s="40"/>
      <c r="N16" s="40"/>
      <c r="O16" s="40"/>
      <c r="P16" s="40">
        <v>1621</v>
      </c>
      <c r="Q16" s="40">
        <f t="shared" si="0"/>
        <v>8478</v>
      </c>
      <c r="R16" s="19"/>
    </row>
    <row r="17" spans="1:18" ht="26.25" customHeight="1" x14ac:dyDescent="0.35">
      <c r="A17" s="75"/>
      <c r="B17" s="81"/>
      <c r="C17" s="30" t="s">
        <v>41</v>
      </c>
      <c r="D17" s="40"/>
      <c r="E17" s="40"/>
      <c r="F17" s="40"/>
      <c r="G17" s="40">
        <v>16295</v>
      </c>
      <c r="H17" s="40"/>
      <c r="I17" s="40"/>
      <c r="J17" s="40"/>
      <c r="K17" s="40"/>
      <c r="L17" s="40"/>
      <c r="M17" s="40"/>
      <c r="N17" s="40"/>
      <c r="O17" s="40"/>
      <c r="P17" s="40">
        <v>733</v>
      </c>
      <c r="Q17" s="40">
        <f t="shared" si="0"/>
        <v>17028</v>
      </c>
      <c r="R17" s="19"/>
    </row>
    <row r="18" spans="1:18" ht="27.75" customHeight="1" x14ac:dyDescent="0.35">
      <c r="A18" s="75"/>
      <c r="B18" s="81"/>
      <c r="C18" s="30" t="s">
        <v>42</v>
      </c>
      <c r="D18" s="40"/>
      <c r="E18" s="40"/>
      <c r="F18" s="40"/>
      <c r="G18" s="50">
        <v>20817</v>
      </c>
      <c r="H18" s="50"/>
      <c r="I18" s="40"/>
      <c r="J18" s="40"/>
      <c r="K18" s="40"/>
      <c r="L18" s="40"/>
      <c r="M18" s="40"/>
      <c r="N18" s="40"/>
      <c r="O18" s="40"/>
      <c r="P18" s="40"/>
      <c r="Q18" s="40">
        <f t="shared" si="0"/>
        <v>20817</v>
      </c>
      <c r="R18" s="19"/>
    </row>
    <row r="19" spans="1:18" ht="45.75" customHeight="1" x14ac:dyDescent="0.3">
      <c r="A19" s="72" t="s">
        <v>94</v>
      </c>
      <c r="B19" s="72"/>
      <c r="C19" s="72"/>
      <c r="D19" s="72"/>
      <c r="E19" s="72"/>
      <c r="F19" s="72"/>
      <c r="G19" s="72"/>
      <c r="H19" s="72"/>
      <c r="I19" s="72"/>
      <c r="J19" s="72"/>
      <c r="K19" s="72"/>
      <c r="L19" s="72"/>
      <c r="M19" s="72"/>
      <c r="N19" s="72"/>
      <c r="O19" s="72"/>
      <c r="P19" s="72"/>
      <c r="Q19" s="72"/>
    </row>
  </sheetData>
  <mergeCells count="29">
    <mergeCell ref="A10:A12"/>
    <mergeCell ref="B10:B12"/>
    <mergeCell ref="B5:B6"/>
    <mergeCell ref="J5:J6"/>
    <mergeCell ref="K5:K6"/>
    <mergeCell ref="A4:A6"/>
    <mergeCell ref="B4:P4"/>
    <mergeCell ref="C5:C6"/>
    <mergeCell ref="D5:E5"/>
    <mergeCell ref="F5:F6"/>
    <mergeCell ref="G5:G6"/>
    <mergeCell ref="H5:H6"/>
    <mergeCell ref="I5:I6"/>
    <mergeCell ref="A1:Q1"/>
    <mergeCell ref="A2:Q2"/>
    <mergeCell ref="A3:Q3"/>
    <mergeCell ref="P5:P6"/>
    <mergeCell ref="A7:A9"/>
    <mergeCell ref="B7:B9"/>
    <mergeCell ref="L5:L6"/>
    <mergeCell ref="M5:M6"/>
    <mergeCell ref="N5:N6"/>
    <mergeCell ref="O5:O6"/>
    <mergeCell ref="Q4:Q6"/>
    <mergeCell ref="A19:Q19"/>
    <mergeCell ref="A13:A15"/>
    <mergeCell ref="B13:B15"/>
    <mergeCell ref="A16:A18"/>
    <mergeCell ref="B16:B18"/>
  </mergeCells>
  <conditionalFormatting sqref="C7:Q18">
    <cfRule type="expression" dxfId="4" priority="1">
      <formula>MOD(ROW(),2)=0</formula>
    </cfRule>
  </conditionalFormatting>
  <printOptions horizontalCentered="1"/>
  <pageMargins left="0.19685039370078741" right="0.39370078740157483" top="0.59055118110236227" bottom="0.39370078740157483" header="0.31496062992125984" footer="0.31496062992125984"/>
  <pageSetup paperSize="9" scale="68" orientation="landscape" r:id="rId1"/>
  <headerFooter>
    <oddFooter>&amp;CA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916A2-0238-4649-BFF5-7C90189BF4F5}">
  <sheetPr>
    <pageSetUpPr fitToPage="1"/>
  </sheetPr>
  <dimension ref="A1:T21"/>
  <sheetViews>
    <sheetView showZeros="0" view="pageBreakPreview" zoomScale="50" zoomScaleNormal="90" zoomScaleSheetLayoutView="50" workbookViewId="0">
      <selection sqref="A1:K1"/>
    </sheetView>
  </sheetViews>
  <sheetFormatPr defaultColWidth="9.140625" defaultRowHeight="15" x14ac:dyDescent="0.3"/>
  <cols>
    <col min="1" max="1" width="6.5703125" style="17" customWidth="1"/>
    <col min="2" max="2" width="13.28515625" style="17" customWidth="1"/>
    <col min="3" max="3" width="9.140625" style="16"/>
    <col min="4" max="4" width="15" style="16" customWidth="1"/>
    <col min="5" max="5" width="11.5703125" style="16" bestFit="1" customWidth="1"/>
    <col min="6" max="6" width="14.140625" style="16" customWidth="1"/>
    <col min="7" max="7" width="12.28515625" style="16" bestFit="1" customWidth="1"/>
    <col min="8" max="8" width="15.7109375" style="16" customWidth="1"/>
    <col min="9" max="10" width="12.42578125" style="16" bestFit="1" customWidth="1"/>
    <col min="11" max="11" width="12" style="16" customWidth="1"/>
    <col min="12" max="16384" width="9.140625" style="16"/>
  </cols>
  <sheetData>
    <row r="1" spans="1:20" ht="18" x14ac:dyDescent="0.3">
      <c r="A1" s="108" t="s">
        <v>99</v>
      </c>
      <c r="B1" s="108"/>
      <c r="C1" s="108"/>
      <c r="D1" s="108"/>
      <c r="E1" s="108"/>
      <c r="F1" s="108"/>
      <c r="G1" s="108"/>
      <c r="H1" s="108"/>
      <c r="I1" s="108"/>
      <c r="J1" s="108"/>
      <c r="K1" s="108"/>
    </row>
    <row r="2" spans="1:20" ht="18" x14ac:dyDescent="0.3">
      <c r="A2" s="87" t="s">
        <v>100</v>
      </c>
      <c r="B2" s="87"/>
      <c r="C2" s="87"/>
      <c r="D2" s="87"/>
      <c r="E2" s="87"/>
      <c r="F2" s="87"/>
      <c r="G2" s="87"/>
      <c r="H2" s="87"/>
      <c r="I2" s="87"/>
      <c r="J2" s="87"/>
      <c r="K2" s="87"/>
    </row>
    <row r="3" spans="1:20" ht="18" x14ac:dyDescent="0.3">
      <c r="A3" s="74" t="s">
        <v>46</v>
      </c>
      <c r="B3" s="74"/>
      <c r="C3" s="74"/>
      <c r="D3" s="74"/>
      <c r="E3" s="74"/>
      <c r="F3" s="74"/>
      <c r="G3" s="74"/>
      <c r="H3" s="74"/>
      <c r="I3" s="74"/>
      <c r="J3" s="74"/>
      <c r="K3" s="74"/>
    </row>
    <row r="4" spans="1:20" ht="27" customHeight="1" x14ac:dyDescent="0.3">
      <c r="A4" s="95" t="s">
        <v>106</v>
      </c>
      <c r="B4" s="95" t="s">
        <v>31</v>
      </c>
      <c r="C4" s="95"/>
      <c r="D4" s="95"/>
      <c r="E4" s="95"/>
      <c r="F4" s="95"/>
      <c r="G4" s="95"/>
      <c r="H4" s="95"/>
      <c r="I4" s="95"/>
      <c r="J4" s="95"/>
      <c r="K4" s="95" t="s">
        <v>24</v>
      </c>
    </row>
    <row r="5" spans="1:20" ht="60.75" customHeight="1" x14ac:dyDescent="0.35">
      <c r="A5" s="95"/>
      <c r="B5" s="51" t="s">
        <v>32</v>
      </c>
      <c r="C5" s="51" t="s">
        <v>33</v>
      </c>
      <c r="D5" s="51" t="s">
        <v>34</v>
      </c>
      <c r="E5" s="51" t="s">
        <v>35</v>
      </c>
      <c r="F5" s="51" t="s">
        <v>60</v>
      </c>
      <c r="G5" s="51" t="s">
        <v>36</v>
      </c>
      <c r="H5" s="51" t="s">
        <v>37</v>
      </c>
      <c r="I5" s="51" t="s">
        <v>38</v>
      </c>
      <c r="J5" s="52" t="s">
        <v>39</v>
      </c>
      <c r="K5" s="95"/>
    </row>
    <row r="6" spans="1:20" ht="24.75" customHeight="1" x14ac:dyDescent="0.35">
      <c r="A6" s="93">
        <v>1</v>
      </c>
      <c r="B6" s="94" t="s">
        <v>40</v>
      </c>
      <c r="C6" s="68" t="s">
        <v>16</v>
      </c>
      <c r="D6" s="53">
        <v>3823740</v>
      </c>
      <c r="E6" s="53"/>
      <c r="F6" s="53">
        <v>1274580</v>
      </c>
      <c r="G6" s="53"/>
      <c r="H6" s="53"/>
      <c r="I6" s="53"/>
      <c r="J6" s="53"/>
      <c r="K6" s="53">
        <f>SUM(D6:J6)</f>
        <v>5098320</v>
      </c>
    </row>
    <row r="7" spans="1:20" ht="23.25" customHeight="1" x14ac:dyDescent="0.35">
      <c r="A7" s="93"/>
      <c r="B7" s="94"/>
      <c r="C7" s="68" t="s">
        <v>41</v>
      </c>
      <c r="D7" s="53">
        <v>3894915</v>
      </c>
      <c r="E7" s="53"/>
      <c r="F7" s="53">
        <v>1298305</v>
      </c>
      <c r="G7" s="53"/>
      <c r="H7" s="53"/>
      <c r="I7" s="53"/>
      <c r="J7" s="53"/>
      <c r="K7" s="53">
        <f t="shared" ref="K7:K20" si="0">SUM(D7:J7)</f>
        <v>5193220</v>
      </c>
    </row>
    <row r="8" spans="1:20" ht="24.75" customHeight="1" x14ac:dyDescent="0.35">
      <c r="A8" s="93"/>
      <c r="B8" s="94"/>
      <c r="C8" s="68" t="s">
        <v>42</v>
      </c>
      <c r="D8" s="53">
        <v>3674273</v>
      </c>
      <c r="E8" s="53"/>
      <c r="F8" s="53">
        <v>1224758</v>
      </c>
      <c r="G8" s="53"/>
      <c r="H8" s="53"/>
      <c r="I8" s="53"/>
      <c r="J8" s="53"/>
      <c r="K8" s="53">
        <f t="shared" si="0"/>
        <v>4899031</v>
      </c>
      <c r="T8" s="24"/>
    </row>
    <row r="9" spans="1:20" ht="24" customHeight="1" x14ac:dyDescent="0.35">
      <c r="A9" s="93">
        <v>2</v>
      </c>
      <c r="B9" s="94" t="s">
        <v>43</v>
      </c>
      <c r="C9" s="68" t="s">
        <v>16</v>
      </c>
      <c r="D9" s="53"/>
      <c r="E9" s="53">
        <v>17227</v>
      </c>
      <c r="F9" s="53"/>
      <c r="G9" s="53"/>
      <c r="H9" s="53"/>
      <c r="I9" s="53"/>
      <c r="J9" s="53"/>
      <c r="K9" s="53">
        <f t="shared" si="0"/>
        <v>17227</v>
      </c>
    </row>
    <row r="10" spans="1:20" ht="21.75" customHeight="1" x14ac:dyDescent="0.35">
      <c r="A10" s="93"/>
      <c r="B10" s="94"/>
      <c r="C10" s="68" t="s">
        <v>41</v>
      </c>
      <c r="D10" s="53"/>
      <c r="E10" s="53">
        <v>21269</v>
      </c>
      <c r="F10" s="53"/>
      <c r="G10" s="53"/>
      <c r="H10" s="53"/>
      <c r="I10" s="53"/>
      <c r="J10" s="53"/>
      <c r="K10" s="53">
        <f t="shared" si="0"/>
        <v>21269</v>
      </c>
    </row>
    <row r="11" spans="1:20" ht="26.25" customHeight="1" x14ac:dyDescent="0.35">
      <c r="A11" s="93"/>
      <c r="B11" s="94"/>
      <c r="C11" s="68" t="s">
        <v>42</v>
      </c>
      <c r="D11" s="53"/>
      <c r="E11" s="53">
        <v>12873</v>
      </c>
      <c r="F11" s="53"/>
      <c r="G11" s="53"/>
      <c r="H11" s="53"/>
      <c r="I11" s="53"/>
      <c r="J11" s="53"/>
      <c r="K11" s="53">
        <f t="shared" si="0"/>
        <v>12873</v>
      </c>
    </row>
    <row r="12" spans="1:20" ht="23.25" customHeight="1" x14ac:dyDescent="0.35">
      <c r="A12" s="93">
        <v>3</v>
      </c>
      <c r="B12" s="94" t="s">
        <v>44</v>
      </c>
      <c r="C12" s="68" t="s">
        <v>16</v>
      </c>
      <c r="D12" s="53"/>
      <c r="E12" s="53">
        <v>929250</v>
      </c>
      <c r="F12" s="53"/>
      <c r="G12" s="53">
        <v>94006</v>
      </c>
      <c r="H12" s="53"/>
      <c r="I12" s="53"/>
      <c r="J12" s="53">
        <v>294466</v>
      </c>
      <c r="K12" s="53">
        <f>SUM(D12:J12)</f>
        <v>1317722</v>
      </c>
    </row>
    <row r="13" spans="1:20" ht="20.25" customHeight="1" x14ac:dyDescent="0.35">
      <c r="A13" s="93"/>
      <c r="B13" s="94"/>
      <c r="C13" s="68" t="s">
        <v>41</v>
      </c>
      <c r="D13" s="53"/>
      <c r="E13" s="53">
        <v>964811</v>
      </c>
      <c r="F13" s="53"/>
      <c r="G13" s="53">
        <v>64794</v>
      </c>
      <c r="H13" s="53"/>
      <c r="I13" s="53"/>
      <c r="J13" s="53">
        <v>275910</v>
      </c>
      <c r="K13" s="53">
        <f>SUM(D13:J13)</f>
        <v>1305515</v>
      </c>
    </row>
    <row r="14" spans="1:20" ht="20.25" customHeight="1" x14ac:dyDescent="0.35">
      <c r="A14" s="93"/>
      <c r="B14" s="94"/>
      <c r="C14" s="68" t="s">
        <v>42</v>
      </c>
      <c r="D14" s="53"/>
      <c r="E14" s="53">
        <v>791031</v>
      </c>
      <c r="F14" s="53"/>
      <c r="G14" s="53">
        <v>46566</v>
      </c>
      <c r="H14" s="53"/>
      <c r="I14" s="53"/>
      <c r="J14" s="53">
        <v>235356</v>
      </c>
      <c r="K14" s="53">
        <f>SUM(D14:J14)</f>
        <v>1072953</v>
      </c>
    </row>
    <row r="15" spans="1:20" ht="21.75" customHeight="1" x14ac:dyDescent="0.35">
      <c r="A15" s="93">
        <v>4</v>
      </c>
      <c r="B15" s="94" t="s">
        <v>45</v>
      </c>
      <c r="C15" s="68" t="s">
        <v>16</v>
      </c>
      <c r="D15" s="53"/>
      <c r="E15" s="53"/>
      <c r="F15" s="53"/>
      <c r="G15" s="53"/>
      <c r="H15" s="53"/>
      <c r="I15" s="53"/>
      <c r="J15" s="53"/>
      <c r="K15" s="53"/>
    </row>
    <row r="16" spans="1:20" ht="22.5" customHeight="1" x14ac:dyDescent="0.35">
      <c r="A16" s="93"/>
      <c r="B16" s="94"/>
      <c r="C16" s="68" t="s">
        <v>41</v>
      </c>
      <c r="D16" s="53">
        <v>8157</v>
      </c>
      <c r="E16" s="53">
        <v>2725</v>
      </c>
      <c r="F16" s="53"/>
      <c r="G16" s="53"/>
      <c r="H16" s="53"/>
      <c r="I16" s="53"/>
      <c r="J16" s="53"/>
      <c r="K16" s="53">
        <f t="shared" si="0"/>
        <v>10882</v>
      </c>
    </row>
    <row r="17" spans="1:11" ht="21.75" customHeight="1" x14ac:dyDescent="0.35">
      <c r="A17" s="93"/>
      <c r="B17" s="94"/>
      <c r="C17" s="68" t="s">
        <v>42</v>
      </c>
      <c r="D17" s="53">
        <v>17973</v>
      </c>
      <c r="E17" s="53">
        <v>2981</v>
      </c>
      <c r="F17" s="53"/>
      <c r="G17" s="53"/>
      <c r="H17" s="53"/>
      <c r="I17" s="53"/>
      <c r="J17" s="53"/>
      <c r="K17" s="53">
        <f t="shared" si="0"/>
        <v>20954</v>
      </c>
    </row>
    <row r="18" spans="1:11" ht="23.25" customHeight="1" x14ac:dyDescent="0.35">
      <c r="A18" s="93">
        <v>5</v>
      </c>
      <c r="B18" s="94" t="s">
        <v>66</v>
      </c>
      <c r="C18" s="68" t="s">
        <v>16</v>
      </c>
      <c r="D18" s="53">
        <v>260709</v>
      </c>
      <c r="E18" s="53">
        <v>140382</v>
      </c>
      <c r="F18" s="53"/>
      <c r="G18" s="53"/>
      <c r="H18" s="53"/>
      <c r="I18" s="53"/>
      <c r="J18" s="53"/>
      <c r="K18" s="53">
        <f t="shared" si="0"/>
        <v>401091</v>
      </c>
    </row>
    <row r="19" spans="1:11" ht="21.75" customHeight="1" x14ac:dyDescent="0.35">
      <c r="A19" s="93"/>
      <c r="B19" s="94"/>
      <c r="C19" s="68" t="s">
        <v>41</v>
      </c>
      <c r="D19" s="53">
        <v>280457</v>
      </c>
      <c r="E19" s="53">
        <v>151015</v>
      </c>
      <c r="F19" s="53"/>
      <c r="G19" s="53"/>
      <c r="H19" s="53"/>
      <c r="I19" s="53"/>
      <c r="J19" s="53"/>
      <c r="K19" s="53">
        <f t="shared" si="0"/>
        <v>431472</v>
      </c>
    </row>
    <row r="20" spans="1:11" ht="22.5" customHeight="1" x14ac:dyDescent="0.35">
      <c r="A20" s="93"/>
      <c r="B20" s="94"/>
      <c r="C20" s="68" t="s">
        <v>42</v>
      </c>
      <c r="D20" s="53">
        <v>279570</v>
      </c>
      <c r="E20" s="53">
        <v>150537</v>
      </c>
      <c r="F20" s="53"/>
      <c r="G20" s="53"/>
      <c r="H20" s="53"/>
      <c r="I20" s="53"/>
      <c r="J20" s="53"/>
      <c r="K20" s="53">
        <f t="shared" si="0"/>
        <v>430107</v>
      </c>
    </row>
    <row r="21" spans="1:11" ht="45.75" customHeight="1" x14ac:dyDescent="0.3">
      <c r="A21" s="72" t="s">
        <v>101</v>
      </c>
      <c r="B21" s="72"/>
      <c r="C21" s="72"/>
      <c r="D21" s="72"/>
      <c r="E21" s="72"/>
      <c r="F21" s="72"/>
      <c r="G21" s="72"/>
      <c r="H21" s="72"/>
      <c r="I21" s="72"/>
      <c r="J21" s="72"/>
      <c r="K21" s="72"/>
    </row>
  </sheetData>
  <mergeCells count="17">
    <mergeCell ref="B6:B8"/>
    <mergeCell ref="A9:A11"/>
    <mergeCell ref="B9:B11"/>
    <mergeCell ref="A1:K1"/>
    <mergeCell ref="A2:K2"/>
    <mergeCell ref="A3:K3"/>
    <mergeCell ref="A4:A5"/>
    <mergeCell ref="B4:J4"/>
    <mergeCell ref="K4:K5"/>
    <mergeCell ref="A6:A8"/>
    <mergeCell ref="A21:K21"/>
    <mergeCell ref="A12:A14"/>
    <mergeCell ref="B12:B14"/>
    <mergeCell ref="A15:A17"/>
    <mergeCell ref="B15:B17"/>
    <mergeCell ref="A18:A20"/>
    <mergeCell ref="B18:B20"/>
  </mergeCells>
  <conditionalFormatting sqref="C6:K20">
    <cfRule type="expression" dxfId="3" priority="1">
      <formula>MOD(ROW(),2)=0</formula>
    </cfRule>
  </conditionalFormatting>
  <printOptions horizontalCentered="1"/>
  <pageMargins left="0.19685039370078741" right="0.39370078740157483" top="0.59055118110236227" bottom="0.39370078740157483" header="0.31496062992125984" footer="0.31496062992125984"/>
  <pageSetup paperSize="9" orientation="landscape" r:id="rId1"/>
  <headerFooter>
    <oddFooter>&amp;CA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34786-CE7B-4067-8AB3-DDC856C10458}">
  <sheetPr>
    <pageSetUpPr fitToPage="1"/>
  </sheetPr>
  <dimension ref="A1:T22"/>
  <sheetViews>
    <sheetView showZeros="0" view="pageBreakPreview" zoomScale="50" zoomScaleNormal="90" zoomScaleSheetLayoutView="50" workbookViewId="0">
      <selection sqref="A1:Q1"/>
    </sheetView>
  </sheetViews>
  <sheetFormatPr defaultColWidth="9.140625" defaultRowHeight="15" x14ac:dyDescent="0.3"/>
  <cols>
    <col min="1" max="1" width="8.28515625" style="16" customWidth="1"/>
    <col min="2" max="2" width="15.28515625" style="16" customWidth="1"/>
    <col min="3" max="3" width="10.7109375" style="16" customWidth="1"/>
    <col min="4" max="4" width="11.85546875" style="16" customWidth="1"/>
    <col min="5" max="5" width="13.140625" style="16" customWidth="1"/>
    <col min="6" max="6" width="16.7109375" style="16" customWidth="1"/>
    <col min="7" max="7" width="14.28515625" style="16" customWidth="1"/>
    <col min="8" max="8" width="11" style="16" customWidth="1"/>
    <col min="9" max="9" width="16.28515625" style="16" customWidth="1"/>
    <col min="10" max="10" width="16" style="16" customWidth="1"/>
    <col min="11" max="11" width="18.85546875" style="16" customWidth="1"/>
    <col min="12" max="12" width="12.42578125" style="16" customWidth="1"/>
    <col min="13" max="13" width="10.85546875" style="16" customWidth="1"/>
    <col min="14" max="14" width="14.85546875" style="16" customWidth="1"/>
    <col min="15" max="15" width="12.140625" style="16" customWidth="1"/>
    <col min="16" max="16" width="10.7109375" style="16" customWidth="1"/>
    <col min="17" max="17" width="13.5703125" style="16" customWidth="1"/>
    <col min="18" max="16384" width="9.140625" style="16"/>
  </cols>
  <sheetData>
    <row r="1" spans="1:20" ht="24.75" customHeight="1" x14ac:dyDescent="0.3">
      <c r="A1" s="108" t="s">
        <v>103</v>
      </c>
      <c r="B1" s="108"/>
      <c r="C1" s="108"/>
      <c r="D1" s="108"/>
      <c r="E1" s="108"/>
      <c r="F1" s="108"/>
      <c r="G1" s="108"/>
      <c r="H1" s="108"/>
      <c r="I1" s="108"/>
      <c r="J1" s="108"/>
      <c r="K1" s="108"/>
      <c r="L1" s="108"/>
      <c r="M1" s="108"/>
      <c r="N1" s="108"/>
      <c r="O1" s="108"/>
      <c r="P1" s="108"/>
      <c r="Q1" s="108"/>
    </row>
    <row r="2" spans="1:20" ht="18" x14ac:dyDescent="0.3">
      <c r="A2" s="87" t="s">
        <v>102</v>
      </c>
      <c r="B2" s="87"/>
      <c r="C2" s="87"/>
      <c r="D2" s="87"/>
      <c r="E2" s="87"/>
      <c r="F2" s="87"/>
      <c r="G2" s="87"/>
      <c r="H2" s="87"/>
      <c r="I2" s="87"/>
      <c r="J2" s="87"/>
      <c r="K2" s="87"/>
      <c r="L2" s="87"/>
      <c r="M2" s="87"/>
      <c r="N2" s="87"/>
      <c r="O2" s="87"/>
      <c r="P2" s="87"/>
      <c r="Q2" s="87"/>
    </row>
    <row r="3" spans="1:20" ht="18" x14ac:dyDescent="0.3">
      <c r="A3" s="74" t="s">
        <v>46</v>
      </c>
      <c r="B3" s="74"/>
      <c r="C3" s="74"/>
      <c r="D3" s="74"/>
      <c r="E3" s="74"/>
      <c r="F3" s="74"/>
      <c r="G3" s="74"/>
      <c r="H3" s="74"/>
      <c r="I3" s="74"/>
      <c r="J3" s="74"/>
      <c r="K3" s="74"/>
      <c r="L3" s="74"/>
      <c r="M3" s="74"/>
      <c r="N3" s="74"/>
      <c r="O3" s="74"/>
      <c r="P3" s="74"/>
      <c r="Q3" s="74"/>
    </row>
    <row r="4" spans="1:20" ht="30" customHeight="1" x14ac:dyDescent="0.3">
      <c r="A4" s="93" t="s">
        <v>107</v>
      </c>
      <c r="B4" s="93" t="s">
        <v>47</v>
      </c>
      <c r="C4" s="93"/>
      <c r="D4" s="93"/>
      <c r="E4" s="93"/>
      <c r="F4" s="93"/>
      <c r="G4" s="93"/>
      <c r="H4" s="93"/>
      <c r="I4" s="93"/>
      <c r="J4" s="93"/>
      <c r="K4" s="93"/>
      <c r="L4" s="93"/>
      <c r="M4" s="93"/>
      <c r="N4" s="93"/>
      <c r="O4" s="93"/>
      <c r="P4" s="93"/>
      <c r="Q4" s="93" t="s">
        <v>24</v>
      </c>
    </row>
    <row r="5" spans="1:20" ht="36.75" customHeight="1" x14ac:dyDescent="0.3">
      <c r="A5" s="93"/>
      <c r="B5" s="93" t="s">
        <v>32</v>
      </c>
      <c r="C5" s="93" t="s">
        <v>33</v>
      </c>
      <c r="D5" s="93" t="s">
        <v>48</v>
      </c>
      <c r="E5" s="93"/>
      <c r="F5" s="93" t="s">
        <v>21</v>
      </c>
      <c r="G5" s="93" t="s">
        <v>22</v>
      </c>
      <c r="H5" s="93" t="s">
        <v>23</v>
      </c>
      <c r="I5" s="93" t="s">
        <v>49</v>
      </c>
      <c r="J5" s="93" t="s">
        <v>50</v>
      </c>
      <c r="K5" s="93" t="s">
        <v>51</v>
      </c>
      <c r="L5" s="93" t="s">
        <v>52</v>
      </c>
      <c r="M5" s="93" t="s">
        <v>53</v>
      </c>
      <c r="N5" s="93" t="s">
        <v>54</v>
      </c>
      <c r="O5" s="93" t="s">
        <v>95</v>
      </c>
      <c r="P5" s="93" t="s">
        <v>38</v>
      </c>
      <c r="Q5" s="93"/>
    </row>
    <row r="6" spans="1:20" ht="47.25" customHeight="1" x14ac:dyDescent="0.3">
      <c r="A6" s="93"/>
      <c r="B6" s="93"/>
      <c r="C6" s="93"/>
      <c r="D6" s="54" t="s">
        <v>56</v>
      </c>
      <c r="E6" s="54" t="s">
        <v>57</v>
      </c>
      <c r="F6" s="93"/>
      <c r="G6" s="93"/>
      <c r="H6" s="93"/>
      <c r="I6" s="93"/>
      <c r="J6" s="93"/>
      <c r="K6" s="93"/>
      <c r="L6" s="93"/>
      <c r="M6" s="93"/>
      <c r="N6" s="93"/>
      <c r="O6" s="93"/>
      <c r="P6" s="93"/>
      <c r="Q6" s="93"/>
    </row>
    <row r="7" spans="1:20" ht="18" x14ac:dyDescent="0.35">
      <c r="A7" s="93">
        <v>1</v>
      </c>
      <c r="B7" s="94" t="s">
        <v>40</v>
      </c>
      <c r="C7" s="68" t="s">
        <v>16</v>
      </c>
      <c r="D7" s="53">
        <v>152935</v>
      </c>
      <c r="E7" s="53">
        <v>1910775</v>
      </c>
      <c r="F7" s="53"/>
      <c r="G7" s="53"/>
      <c r="H7" s="53"/>
      <c r="I7" s="55">
        <v>2353828</v>
      </c>
      <c r="J7" s="55">
        <v>65253</v>
      </c>
      <c r="K7" s="55">
        <v>207459</v>
      </c>
      <c r="L7" s="55"/>
      <c r="M7" s="55"/>
      <c r="N7" s="55">
        <v>408070</v>
      </c>
      <c r="O7" s="55"/>
      <c r="P7" s="55"/>
      <c r="Q7" s="55">
        <f>SUM(D7:P7)</f>
        <v>5098320</v>
      </c>
    </row>
    <row r="8" spans="1:20" ht="22.5" customHeight="1" x14ac:dyDescent="0.35">
      <c r="A8" s="93"/>
      <c r="B8" s="94"/>
      <c r="C8" s="68" t="s">
        <v>41</v>
      </c>
      <c r="D8" s="55">
        <v>182815</v>
      </c>
      <c r="E8" s="55">
        <v>2286410</v>
      </c>
      <c r="F8" s="55"/>
      <c r="G8" s="55"/>
      <c r="H8" s="55"/>
      <c r="I8" s="55">
        <v>2165417</v>
      </c>
      <c r="J8" s="55">
        <v>60030</v>
      </c>
      <c r="K8" s="55">
        <v>190853</v>
      </c>
      <c r="L8" s="55"/>
      <c r="M8" s="55"/>
      <c r="N8" s="55">
        <v>307695</v>
      </c>
      <c r="O8" s="55"/>
      <c r="P8" s="56"/>
      <c r="Q8" s="55">
        <f t="shared" ref="Q8:Q21" si="0">SUM(D8:P8)</f>
        <v>5193220</v>
      </c>
      <c r="T8" s="24"/>
    </row>
    <row r="9" spans="1:20" ht="21.75" customHeight="1" x14ac:dyDescent="0.35">
      <c r="A9" s="93"/>
      <c r="B9" s="94"/>
      <c r="C9" s="68" t="s">
        <v>42</v>
      </c>
      <c r="D9" s="55">
        <v>67154</v>
      </c>
      <c r="E9" s="55">
        <v>772725</v>
      </c>
      <c r="F9" s="55"/>
      <c r="G9" s="55"/>
      <c r="H9" s="55"/>
      <c r="I9" s="55">
        <v>3085941</v>
      </c>
      <c r="J9" s="55">
        <v>84435</v>
      </c>
      <c r="K9" s="55">
        <v>271702</v>
      </c>
      <c r="L9" s="55"/>
      <c r="M9" s="55"/>
      <c r="N9" s="55">
        <v>617074</v>
      </c>
      <c r="O9" s="55"/>
      <c r="P9" s="55"/>
      <c r="Q9" s="55">
        <f t="shared" si="0"/>
        <v>4899031</v>
      </c>
    </row>
    <row r="10" spans="1:20" ht="29.25" customHeight="1" x14ac:dyDescent="0.35">
      <c r="A10" s="93">
        <v>2</v>
      </c>
      <c r="B10" s="94" t="s">
        <v>43</v>
      </c>
      <c r="C10" s="68" t="s">
        <v>16</v>
      </c>
      <c r="D10" s="55"/>
      <c r="E10" s="55"/>
      <c r="F10" s="55">
        <v>10336</v>
      </c>
      <c r="G10" s="55"/>
      <c r="H10" s="55">
        <v>4135</v>
      </c>
      <c r="I10" s="55"/>
      <c r="J10" s="55"/>
      <c r="K10" s="55"/>
      <c r="L10" s="55"/>
      <c r="M10" s="55"/>
      <c r="N10" s="55"/>
      <c r="O10" s="55"/>
      <c r="P10" s="55">
        <v>2756</v>
      </c>
      <c r="Q10" s="55">
        <f t="shared" si="0"/>
        <v>17227</v>
      </c>
    </row>
    <row r="11" spans="1:20" ht="29.25" customHeight="1" x14ac:dyDescent="0.35">
      <c r="A11" s="93"/>
      <c r="B11" s="94"/>
      <c r="C11" s="68" t="s">
        <v>41</v>
      </c>
      <c r="D11" s="55"/>
      <c r="E11" s="55"/>
      <c r="F11" s="55">
        <v>12761</v>
      </c>
      <c r="G11" s="55"/>
      <c r="H11" s="55">
        <v>5105</v>
      </c>
      <c r="I11" s="55"/>
      <c r="J11" s="55"/>
      <c r="K11" s="55"/>
      <c r="L11" s="55"/>
      <c r="M11" s="55"/>
      <c r="N11" s="55"/>
      <c r="O11" s="55"/>
      <c r="P11" s="55">
        <v>3403</v>
      </c>
      <c r="Q11" s="55">
        <f t="shared" si="0"/>
        <v>21269</v>
      </c>
    </row>
    <row r="12" spans="1:20" ht="30" customHeight="1" x14ac:dyDescent="0.35">
      <c r="A12" s="93"/>
      <c r="B12" s="94"/>
      <c r="C12" s="68" t="s">
        <v>42</v>
      </c>
      <c r="D12" s="55"/>
      <c r="E12" s="55"/>
      <c r="F12" s="55">
        <v>7724</v>
      </c>
      <c r="G12" s="55"/>
      <c r="H12" s="55">
        <v>3089</v>
      </c>
      <c r="I12" s="55"/>
      <c r="J12" s="55"/>
      <c r="K12" s="55"/>
      <c r="L12" s="55"/>
      <c r="M12" s="55"/>
      <c r="N12" s="55"/>
      <c r="O12" s="55"/>
      <c r="P12" s="55">
        <v>2060</v>
      </c>
      <c r="Q12" s="55">
        <f t="shared" si="0"/>
        <v>12873</v>
      </c>
    </row>
    <row r="13" spans="1:20" ht="18" x14ac:dyDescent="0.35">
      <c r="A13" s="93">
        <v>3</v>
      </c>
      <c r="B13" s="94" t="s">
        <v>44</v>
      </c>
      <c r="C13" s="68" t="s">
        <v>16</v>
      </c>
      <c r="D13" s="57">
        <v>107271</v>
      </c>
      <c r="E13" s="57"/>
      <c r="F13" s="57">
        <v>6345</v>
      </c>
      <c r="G13" s="57">
        <v>124781</v>
      </c>
      <c r="H13" s="57">
        <f>803415-L13</f>
        <v>671053</v>
      </c>
      <c r="I13" s="57"/>
      <c r="J13" s="57"/>
      <c r="K13" s="57"/>
      <c r="L13" s="57">
        <v>132362</v>
      </c>
      <c r="M13" s="57">
        <v>0</v>
      </c>
      <c r="N13" s="57"/>
      <c r="O13" s="57">
        <v>275910</v>
      </c>
      <c r="P13" s="57"/>
      <c r="Q13" s="57">
        <f t="shared" si="0"/>
        <v>1317722</v>
      </c>
    </row>
    <row r="14" spans="1:20" ht="22.5" customHeight="1" x14ac:dyDescent="0.35">
      <c r="A14" s="93"/>
      <c r="B14" s="94"/>
      <c r="C14" s="68" t="s">
        <v>41</v>
      </c>
      <c r="D14" s="57">
        <v>105621</v>
      </c>
      <c r="E14" s="57"/>
      <c r="F14" s="57">
        <v>8307</v>
      </c>
      <c r="G14" s="57">
        <v>120434</v>
      </c>
      <c r="H14" s="57">
        <f>834423-L14</f>
        <v>678445</v>
      </c>
      <c r="I14" s="57"/>
      <c r="J14" s="57"/>
      <c r="K14" s="57"/>
      <c r="L14" s="57">
        <v>155978</v>
      </c>
      <c r="M14" s="57">
        <v>1374</v>
      </c>
      <c r="N14" s="57"/>
      <c r="O14" s="57">
        <v>235356</v>
      </c>
      <c r="P14" s="57"/>
      <c r="Q14" s="57">
        <f t="shared" si="0"/>
        <v>1305515</v>
      </c>
    </row>
    <row r="15" spans="1:20" ht="28.5" customHeight="1" x14ac:dyDescent="0.35">
      <c r="A15" s="93"/>
      <c r="B15" s="94"/>
      <c r="C15" s="68" t="s">
        <v>42</v>
      </c>
      <c r="D15" s="57">
        <v>88405</v>
      </c>
      <c r="E15" s="57"/>
      <c r="F15" s="57">
        <v>5406</v>
      </c>
      <c r="G15" s="57">
        <v>85276</v>
      </c>
      <c r="H15" s="57">
        <f>649905-L15</f>
        <v>481167</v>
      </c>
      <c r="I15" s="57"/>
      <c r="J15" s="57"/>
      <c r="K15" s="57"/>
      <c r="L15" s="57">
        <v>168738</v>
      </c>
      <c r="M15" s="57">
        <v>8605</v>
      </c>
      <c r="N15" s="57"/>
      <c r="O15" s="57">
        <v>235356</v>
      </c>
      <c r="P15" s="57"/>
      <c r="Q15" s="57">
        <f t="shared" si="0"/>
        <v>1072953</v>
      </c>
    </row>
    <row r="16" spans="1:20" ht="23.25" customHeight="1" x14ac:dyDescent="0.35">
      <c r="A16" s="93">
        <v>4</v>
      </c>
      <c r="B16" s="94" t="s">
        <v>58</v>
      </c>
      <c r="C16" s="68" t="s">
        <v>16</v>
      </c>
      <c r="D16" s="57"/>
      <c r="E16" s="57"/>
      <c r="F16" s="57"/>
      <c r="G16" s="57"/>
      <c r="H16" s="57"/>
      <c r="I16" s="57"/>
      <c r="J16" s="57"/>
      <c r="K16" s="57"/>
      <c r="L16" s="57"/>
      <c r="M16" s="57"/>
      <c r="N16" s="57"/>
      <c r="O16" s="57"/>
      <c r="P16" s="57"/>
      <c r="Q16" s="57">
        <f t="shared" si="0"/>
        <v>0</v>
      </c>
    </row>
    <row r="17" spans="1:17" ht="22.5" customHeight="1" x14ac:dyDescent="0.35">
      <c r="A17" s="93"/>
      <c r="B17" s="94"/>
      <c r="C17" s="68" t="s">
        <v>41</v>
      </c>
      <c r="D17" s="57"/>
      <c r="E17" s="57"/>
      <c r="F17" s="57"/>
      <c r="G17" s="57">
        <v>10882.757394849999</v>
      </c>
      <c r="H17" s="57"/>
      <c r="I17" s="57"/>
      <c r="J17" s="57"/>
      <c r="K17" s="57"/>
      <c r="L17" s="57"/>
      <c r="M17" s="57"/>
      <c r="N17" s="57"/>
      <c r="O17" s="57"/>
      <c r="P17" s="57"/>
      <c r="Q17" s="57">
        <f t="shared" si="0"/>
        <v>10882.757394849999</v>
      </c>
    </row>
    <row r="18" spans="1:17" ht="24.75" customHeight="1" x14ac:dyDescent="0.35">
      <c r="A18" s="93"/>
      <c r="B18" s="94"/>
      <c r="C18" s="68" t="s">
        <v>42</v>
      </c>
      <c r="D18" s="57"/>
      <c r="E18" s="57"/>
      <c r="F18" s="57"/>
      <c r="G18" s="57">
        <v>20954.191913999999</v>
      </c>
      <c r="H18" s="57"/>
      <c r="I18" s="57"/>
      <c r="J18" s="57"/>
      <c r="K18" s="57"/>
      <c r="L18" s="57"/>
      <c r="M18" s="57"/>
      <c r="N18" s="57"/>
      <c r="O18" s="57"/>
      <c r="P18" s="57"/>
      <c r="Q18" s="57">
        <f t="shared" si="0"/>
        <v>20954.191913999999</v>
      </c>
    </row>
    <row r="19" spans="1:17" ht="18" x14ac:dyDescent="0.35">
      <c r="A19" s="93">
        <v>5</v>
      </c>
      <c r="B19" s="94" t="s">
        <v>66</v>
      </c>
      <c r="C19" s="68" t="s">
        <v>16</v>
      </c>
      <c r="D19" s="96">
        <v>66086</v>
      </c>
      <c r="E19" s="96"/>
      <c r="F19" s="58"/>
      <c r="G19" s="58">
        <v>260807</v>
      </c>
      <c r="H19" s="58">
        <v>54144</v>
      </c>
      <c r="I19" s="58"/>
      <c r="J19" s="58"/>
      <c r="K19" s="58"/>
      <c r="L19" s="58"/>
      <c r="M19" s="58"/>
      <c r="N19" s="58">
        <v>20054</v>
      </c>
      <c r="O19" s="58"/>
      <c r="P19" s="58"/>
      <c r="Q19" s="57">
        <f t="shared" si="0"/>
        <v>401091</v>
      </c>
    </row>
    <row r="20" spans="1:17" ht="21.75" customHeight="1" x14ac:dyDescent="0.35">
      <c r="A20" s="93"/>
      <c r="B20" s="94"/>
      <c r="C20" s="68" t="s">
        <v>41</v>
      </c>
      <c r="D20" s="97">
        <v>94507</v>
      </c>
      <c r="E20" s="97"/>
      <c r="F20" s="57"/>
      <c r="G20" s="59">
        <v>268575</v>
      </c>
      <c r="H20" s="59">
        <v>46032</v>
      </c>
      <c r="I20" s="57"/>
      <c r="J20" s="57"/>
      <c r="K20" s="57"/>
      <c r="L20" s="57"/>
      <c r="M20" s="57"/>
      <c r="N20" s="57">
        <v>22358</v>
      </c>
      <c r="O20" s="57"/>
      <c r="P20" s="57"/>
      <c r="Q20" s="57">
        <f t="shared" si="0"/>
        <v>431472</v>
      </c>
    </row>
    <row r="21" spans="1:17" ht="20.25" customHeight="1" x14ac:dyDescent="0.35">
      <c r="A21" s="93"/>
      <c r="B21" s="94"/>
      <c r="C21" s="68" t="s">
        <v>42</v>
      </c>
      <c r="D21" s="97">
        <v>48056</v>
      </c>
      <c r="E21" s="97"/>
      <c r="F21" s="57"/>
      <c r="G21" s="57">
        <v>295482</v>
      </c>
      <c r="H21" s="57">
        <v>71200</v>
      </c>
      <c r="I21" s="57"/>
      <c r="J21" s="57"/>
      <c r="K21" s="57"/>
      <c r="L21" s="57"/>
      <c r="M21" s="57"/>
      <c r="N21" s="57">
        <v>15369</v>
      </c>
      <c r="O21" s="57"/>
      <c r="P21" s="57"/>
      <c r="Q21" s="57">
        <f t="shared" si="0"/>
        <v>430107</v>
      </c>
    </row>
    <row r="22" spans="1:17" ht="45.75" customHeight="1" x14ac:dyDescent="0.3">
      <c r="A22" s="72" t="s">
        <v>94</v>
      </c>
      <c r="B22" s="72"/>
      <c r="C22" s="72"/>
      <c r="D22" s="72"/>
      <c r="E22" s="72"/>
      <c r="F22" s="72"/>
      <c r="G22" s="72"/>
      <c r="H22" s="72"/>
      <c r="I22" s="72"/>
      <c r="J22" s="72"/>
      <c r="K22" s="72"/>
      <c r="L22" s="72"/>
      <c r="M22" s="72"/>
      <c r="N22" s="72"/>
      <c r="O22" s="72"/>
      <c r="P22" s="72"/>
      <c r="Q22" s="72"/>
    </row>
  </sheetData>
  <mergeCells count="34">
    <mergeCell ref="Q4:Q6"/>
    <mergeCell ref="C5:C6"/>
    <mergeCell ref="D5:E5"/>
    <mergeCell ref="F5:F6"/>
    <mergeCell ref="G5:G6"/>
    <mergeCell ref="H5:H6"/>
    <mergeCell ref="O5:O6"/>
    <mergeCell ref="P5:P6"/>
    <mergeCell ref="J5:J6"/>
    <mergeCell ref="K5:K6"/>
    <mergeCell ref="L5:L6"/>
    <mergeCell ref="M5:M6"/>
    <mergeCell ref="N5:N6"/>
    <mergeCell ref="A10:A12"/>
    <mergeCell ref="B10:B12"/>
    <mergeCell ref="I5:I6"/>
    <mergeCell ref="A4:A6"/>
    <mergeCell ref="B4:P4"/>
    <mergeCell ref="A22:Q22"/>
    <mergeCell ref="A1:Q1"/>
    <mergeCell ref="A2:Q2"/>
    <mergeCell ref="A3:Q3"/>
    <mergeCell ref="B5:B6"/>
    <mergeCell ref="A13:A15"/>
    <mergeCell ref="B13:B15"/>
    <mergeCell ref="A16:A18"/>
    <mergeCell ref="B16:B18"/>
    <mergeCell ref="A19:A21"/>
    <mergeCell ref="B19:B21"/>
    <mergeCell ref="D19:E19"/>
    <mergeCell ref="D20:E20"/>
    <mergeCell ref="D21:E21"/>
    <mergeCell ref="A7:A9"/>
    <mergeCell ref="B7:B9"/>
  </mergeCells>
  <conditionalFormatting sqref="C7:Q21">
    <cfRule type="expression" dxfId="2" priority="1">
      <formula>MOD(ROW(),2)=0</formula>
    </cfRule>
  </conditionalFormatting>
  <printOptions horizontalCentered="1"/>
  <pageMargins left="0.19685039370078741" right="0.39370078740157483" top="0.59055118110236227" bottom="0.39370078740157483" header="0.31496062992125984" footer="0.31496062992125984"/>
  <pageSetup paperSize="9" scale="62" orientation="landscape" r:id="rId1"/>
  <headerFooter>
    <oddFooter>&amp;CA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7"/>
  <sheetViews>
    <sheetView showZeros="0" view="pageBreakPreview" zoomScale="50" zoomScaleNormal="100" zoomScaleSheetLayoutView="50" workbookViewId="0">
      <selection sqref="A1:G1"/>
    </sheetView>
  </sheetViews>
  <sheetFormatPr defaultColWidth="9.140625" defaultRowHeight="15" x14ac:dyDescent="0.25"/>
  <cols>
    <col min="1" max="1" width="7.5703125" style="21" customWidth="1"/>
    <col min="2" max="2" width="20.85546875" style="20" customWidth="1"/>
    <col min="3" max="3" width="14.85546875" style="20" customWidth="1"/>
    <col min="4" max="4" width="15.7109375" style="20" customWidth="1"/>
    <col min="5" max="5" width="16.5703125" style="20" customWidth="1"/>
    <col min="6" max="6" width="12.42578125" style="20" customWidth="1"/>
    <col min="7" max="7" width="12.5703125" style="20" customWidth="1"/>
    <col min="8" max="16384" width="9.140625" style="20"/>
  </cols>
  <sheetData>
    <row r="1" spans="1:20" ht="18" x14ac:dyDescent="0.35">
      <c r="A1" s="109" t="s">
        <v>28</v>
      </c>
      <c r="B1" s="109"/>
      <c r="C1" s="109"/>
      <c r="D1" s="109"/>
      <c r="E1" s="109"/>
      <c r="F1" s="109"/>
      <c r="G1" s="109"/>
    </row>
    <row r="2" spans="1:20" ht="38.25" customHeight="1" x14ac:dyDescent="0.25">
      <c r="A2" s="101" t="s">
        <v>30</v>
      </c>
      <c r="B2" s="101"/>
      <c r="C2" s="101"/>
      <c r="D2" s="101"/>
      <c r="E2" s="101"/>
      <c r="F2" s="101"/>
      <c r="G2" s="101"/>
    </row>
    <row r="3" spans="1:20" ht="107.25" customHeight="1" x14ac:dyDescent="0.25">
      <c r="A3" s="60" t="s">
        <v>0</v>
      </c>
      <c r="B3" s="60" t="s">
        <v>1</v>
      </c>
      <c r="C3" s="60" t="s">
        <v>11</v>
      </c>
      <c r="D3" s="60" t="s">
        <v>12</v>
      </c>
      <c r="E3" s="60" t="s">
        <v>13</v>
      </c>
      <c r="F3" s="60" t="s">
        <v>2</v>
      </c>
      <c r="G3" s="60" t="s">
        <v>3</v>
      </c>
      <c r="H3" s="22"/>
      <c r="I3" s="22"/>
      <c r="J3" s="22"/>
      <c r="K3" s="22"/>
    </row>
    <row r="4" spans="1:20" ht="18" x14ac:dyDescent="0.25">
      <c r="A4" s="98" t="s">
        <v>14</v>
      </c>
      <c r="B4" s="99"/>
      <c r="C4" s="99"/>
      <c r="D4" s="99"/>
      <c r="E4" s="99"/>
      <c r="F4" s="99"/>
      <c r="G4" s="100"/>
      <c r="H4" s="22"/>
      <c r="I4" s="22"/>
      <c r="J4" s="22"/>
      <c r="K4" s="22"/>
    </row>
    <row r="5" spans="1:20" ht="18" x14ac:dyDescent="0.25">
      <c r="A5" s="60">
        <v>1</v>
      </c>
      <c r="B5" s="69" t="s">
        <v>4</v>
      </c>
      <c r="C5" s="70">
        <v>2517464</v>
      </c>
      <c r="D5" s="70">
        <f>C5-220662</f>
        <v>2296802</v>
      </c>
      <c r="E5" s="70">
        <f>441814+1854988</f>
        <v>2296802</v>
      </c>
      <c r="F5" s="71">
        <f>D5/C5*100</f>
        <v>91.234750526720546</v>
      </c>
      <c r="G5" s="71">
        <f>E5/C5*100</f>
        <v>91.234750526720546</v>
      </c>
    </row>
    <row r="6" spans="1:20" ht="18" x14ac:dyDescent="0.25">
      <c r="A6" s="60">
        <v>2</v>
      </c>
      <c r="B6" s="69" t="s">
        <v>5</v>
      </c>
      <c r="C6" s="70">
        <v>3786433</v>
      </c>
      <c r="D6" s="70">
        <f>C6-15319</f>
        <v>3771114</v>
      </c>
      <c r="E6" s="70">
        <f>1216939+1318351</f>
        <v>2535290</v>
      </c>
      <c r="F6" s="71">
        <f t="shared" ref="F6:F10" si="0">D6/C6*100</f>
        <v>99.595423978187398</v>
      </c>
      <c r="G6" s="71">
        <f t="shared" ref="G6:G11" si="1">E6/C6*100</f>
        <v>66.957212764625709</v>
      </c>
    </row>
    <row r="7" spans="1:20" ht="18" x14ac:dyDescent="0.25">
      <c r="A7" s="60">
        <v>3</v>
      </c>
      <c r="B7" s="69" t="s">
        <v>6</v>
      </c>
      <c r="C7" s="70">
        <v>8260939</v>
      </c>
      <c r="D7" s="70">
        <f>C7-17633</f>
        <v>8243306</v>
      </c>
      <c r="E7" s="70">
        <f>5495477+494706</f>
        <v>5990183</v>
      </c>
      <c r="F7" s="71">
        <f t="shared" si="0"/>
        <v>99.786549688842868</v>
      </c>
      <c r="G7" s="71">
        <f t="shared" si="1"/>
        <v>72.512132095394961</v>
      </c>
    </row>
    <row r="8" spans="1:20" ht="18" x14ac:dyDescent="0.25">
      <c r="A8" s="60">
        <v>4</v>
      </c>
      <c r="B8" s="69" t="s">
        <v>7</v>
      </c>
      <c r="C8" s="70">
        <v>4899031</v>
      </c>
      <c r="D8" s="70">
        <f>C8-617074</f>
        <v>4281957</v>
      </c>
      <c r="E8" s="70">
        <f>3085941+84435+271702+67154</f>
        <v>3509232</v>
      </c>
      <c r="F8" s="71">
        <f t="shared" si="0"/>
        <v>87.404162170029139</v>
      </c>
      <c r="G8" s="71">
        <f t="shared" si="1"/>
        <v>71.631145016228714</v>
      </c>
      <c r="T8" s="23"/>
    </row>
    <row r="9" spans="1:20" ht="18" x14ac:dyDescent="0.25">
      <c r="A9" s="60">
        <v>5</v>
      </c>
      <c r="B9" s="69" t="s">
        <v>8</v>
      </c>
      <c r="C9" s="70">
        <v>187245</v>
      </c>
      <c r="D9" s="70">
        <f>C9</f>
        <v>187245</v>
      </c>
      <c r="E9" s="70">
        <f>1825+11680+11680+162060</f>
        <v>187245</v>
      </c>
      <c r="F9" s="71">
        <f t="shared" si="0"/>
        <v>100</v>
      </c>
      <c r="G9" s="71">
        <f t="shared" si="1"/>
        <v>100</v>
      </c>
    </row>
    <row r="10" spans="1:20" ht="21" customHeight="1" x14ac:dyDescent="0.25">
      <c r="A10" s="60">
        <v>6</v>
      </c>
      <c r="B10" s="69" t="s">
        <v>9</v>
      </c>
      <c r="C10" s="70">
        <v>534079</v>
      </c>
      <c r="D10" s="70">
        <f>C10-9472</f>
        <v>524607</v>
      </c>
      <c r="E10" s="70">
        <f>2098+5246+54559+4721+4197+148464</f>
        <v>219285</v>
      </c>
      <c r="F10" s="71">
        <f t="shared" si="0"/>
        <v>98.226479603204766</v>
      </c>
      <c r="G10" s="71">
        <f t="shared" si="1"/>
        <v>41.058532539193635</v>
      </c>
    </row>
    <row r="11" spans="1:20" ht="18" x14ac:dyDescent="0.25">
      <c r="A11" s="60">
        <v>7</v>
      </c>
      <c r="B11" s="69" t="s">
        <v>10</v>
      </c>
      <c r="C11" s="70">
        <v>126097</v>
      </c>
      <c r="D11" s="70">
        <f>C11-25386</f>
        <v>100711</v>
      </c>
      <c r="E11" s="70">
        <f>61232+2855</f>
        <v>64087</v>
      </c>
      <c r="F11" s="71">
        <f t="shared" ref="F11" si="2">D11/C11*100</f>
        <v>79.867879489599275</v>
      </c>
      <c r="G11" s="71">
        <f t="shared" si="1"/>
        <v>50.823572329238601</v>
      </c>
    </row>
    <row r="12" spans="1:20" ht="16.5" customHeight="1" x14ac:dyDescent="0.25">
      <c r="A12" s="98" t="s">
        <v>15</v>
      </c>
      <c r="B12" s="99"/>
      <c r="C12" s="99"/>
      <c r="D12" s="99"/>
      <c r="E12" s="99"/>
      <c r="F12" s="99"/>
      <c r="G12" s="100"/>
    </row>
    <row r="13" spans="1:20" ht="18" x14ac:dyDescent="0.25">
      <c r="A13" s="60">
        <v>1</v>
      </c>
      <c r="B13" s="69" t="s">
        <v>4</v>
      </c>
      <c r="C13" s="70">
        <v>2432765</v>
      </c>
      <c r="D13" s="70">
        <f>C13-131955</f>
        <v>2300810</v>
      </c>
      <c r="E13" s="70">
        <f>434689+1866121</f>
        <v>2300810</v>
      </c>
      <c r="F13" s="71">
        <f>D13/C13*100</f>
        <v>94.575924924931101</v>
      </c>
      <c r="G13" s="71">
        <f>E13/C13*100</f>
        <v>94.575924924931101</v>
      </c>
    </row>
    <row r="14" spans="1:20" ht="18" x14ac:dyDescent="0.25">
      <c r="A14" s="60">
        <v>2</v>
      </c>
      <c r="B14" s="69" t="s">
        <v>5</v>
      </c>
      <c r="C14" s="70">
        <v>3925575</v>
      </c>
      <c r="D14" s="70">
        <f t="shared" ref="D14:D17" si="3">C14</f>
        <v>3925575</v>
      </c>
      <c r="E14" s="70">
        <f>985631+1541629</f>
        <v>2527260</v>
      </c>
      <c r="F14" s="71">
        <f t="shared" ref="F14:F19" si="4">D14/C14*100</f>
        <v>100</v>
      </c>
      <c r="G14" s="71">
        <f t="shared" ref="G14:G19" si="5">E14/C14*100</f>
        <v>64.379358437935835</v>
      </c>
    </row>
    <row r="15" spans="1:20" ht="18" x14ac:dyDescent="0.25">
      <c r="A15" s="60">
        <v>3</v>
      </c>
      <c r="B15" s="69" t="s">
        <v>6</v>
      </c>
      <c r="C15" s="70">
        <v>8375019</v>
      </c>
      <c r="D15" s="70">
        <f>C15-95699</f>
        <v>8279320</v>
      </c>
      <c r="E15" s="70">
        <v>5853600</v>
      </c>
      <c r="F15" s="71">
        <f t="shared" si="4"/>
        <v>98.857327965464918</v>
      </c>
      <c r="G15" s="71">
        <f t="shared" si="5"/>
        <v>69.893572778760259</v>
      </c>
    </row>
    <row r="16" spans="1:20" ht="18" x14ac:dyDescent="0.25">
      <c r="A16" s="60">
        <v>4</v>
      </c>
      <c r="B16" s="69" t="s">
        <v>7</v>
      </c>
      <c r="C16" s="70">
        <v>5193220</v>
      </c>
      <c r="D16" s="70">
        <f>C16-307695</f>
        <v>4885525</v>
      </c>
      <c r="E16" s="70">
        <f>2165417+60030+190853+182815</f>
        <v>2599115</v>
      </c>
      <c r="F16" s="71">
        <f t="shared" si="4"/>
        <v>94.075063255552422</v>
      </c>
      <c r="G16" s="71">
        <f t="shared" si="5"/>
        <v>50.048235969206004</v>
      </c>
    </row>
    <row r="17" spans="1:7" ht="18" x14ac:dyDescent="0.25">
      <c r="A17" s="60">
        <v>5</v>
      </c>
      <c r="B17" s="69" t="s">
        <v>8</v>
      </c>
      <c r="C17" s="70">
        <v>164250</v>
      </c>
      <c r="D17" s="70">
        <f t="shared" si="3"/>
        <v>164250</v>
      </c>
      <c r="E17" s="70">
        <f>1825+63733+98692</f>
        <v>164250</v>
      </c>
      <c r="F17" s="71">
        <f t="shared" si="4"/>
        <v>100</v>
      </c>
      <c r="G17" s="71">
        <f t="shared" si="5"/>
        <v>100</v>
      </c>
    </row>
    <row r="18" spans="1:7" ht="20.25" customHeight="1" x14ac:dyDescent="0.25">
      <c r="A18" s="60">
        <v>6</v>
      </c>
      <c r="B18" s="69" t="s">
        <v>9</v>
      </c>
      <c r="C18" s="70">
        <v>554402</v>
      </c>
      <c r="D18" s="70">
        <f>C18-19805</f>
        <v>534597</v>
      </c>
      <c r="E18" s="70">
        <f>32076+5346+186040</f>
        <v>223462</v>
      </c>
      <c r="F18" s="71">
        <f t="shared" si="4"/>
        <v>96.427682439818042</v>
      </c>
      <c r="G18" s="71">
        <f t="shared" si="5"/>
        <v>40.306853149880411</v>
      </c>
    </row>
    <row r="19" spans="1:7" ht="18" x14ac:dyDescent="0.25">
      <c r="A19" s="60">
        <v>7</v>
      </c>
      <c r="B19" s="69" t="s">
        <v>10</v>
      </c>
      <c r="C19" s="70">
        <v>127090</v>
      </c>
      <c r="D19" s="70">
        <f>C19-12844</f>
        <v>114246</v>
      </c>
      <c r="E19" s="70">
        <v>101617</v>
      </c>
      <c r="F19" s="71">
        <f t="shared" si="4"/>
        <v>89.893776064206463</v>
      </c>
      <c r="G19" s="71">
        <f t="shared" si="5"/>
        <v>79.956723581713746</v>
      </c>
    </row>
    <row r="20" spans="1:7" ht="17.25" customHeight="1" x14ac:dyDescent="0.25">
      <c r="A20" s="98" t="s">
        <v>16</v>
      </c>
      <c r="B20" s="99"/>
      <c r="C20" s="99"/>
      <c r="D20" s="99"/>
      <c r="E20" s="99"/>
      <c r="F20" s="99"/>
      <c r="G20" s="100"/>
    </row>
    <row r="21" spans="1:7" ht="18" x14ac:dyDescent="0.25">
      <c r="A21" s="60">
        <v>1</v>
      </c>
      <c r="B21" s="69" t="s">
        <v>4</v>
      </c>
      <c r="C21" s="70">
        <v>2418329</v>
      </c>
      <c r="D21" s="70">
        <f>C21-605250</f>
        <v>1813079</v>
      </c>
      <c r="E21" s="70">
        <f>284766+1528313</f>
        <v>1813079</v>
      </c>
      <c r="F21" s="71">
        <f>D21/C21*100</f>
        <v>74.972387958793036</v>
      </c>
      <c r="G21" s="71">
        <f>E21/C21*100</f>
        <v>74.972387958793036</v>
      </c>
    </row>
    <row r="22" spans="1:7" ht="18" x14ac:dyDescent="0.25">
      <c r="A22" s="60">
        <v>2</v>
      </c>
      <c r="B22" s="69" t="s">
        <v>5</v>
      </c>
      <c r="C22" s="70">
        <v>3911340</v>
      </c>
      <c r="D22" s="70">
        <f t="shared" ref="D22:D25" si="6">C22</f>
        <v>3911340</v>
      </c>
      <c r="E22" s="70">
        <f>933409+1466101</f>
        <v>2399510</v>
      </c>
      <c r="F22" s="71">
        <f t="shared" ref="F22:F27" si="7">D22/C22*100</f>
        <v>100</v>
      </c>
      <c r="G22" s="71">
        <f t="shared" ref="G22:G27" si="8">E22/C22*100</f>
        <v>61.347517730496456</v>
      </c>
    </row>
    <row r="23" spans="1:7" ht="18" x14ac:dyDescent="0.25">
      <c r="A23" s="60">
        <v>3</v>
      </c>
      <c r="B23" s="69" t="s">
        <v>6</v>
      </c>
      <c r="C23" s="70">
        <v>8703261</v>
      </c>
      <c r="D23" s="70">
        <f>C23-61631</f>
        <v>8641630</v>
      </c>
      <c r="E23" s="70">
        <v>4607515</v>
      </c>
      <c r="F23" s="71">
        <f t="shared" si="7"/>
        <v>99.291863130382964</v>
      </c>
      <c r="G23" s="71">
        <f t="shared" si="8"/>
        <v>52.94009911916924</v>
      </c>
    </row>
    <row r="24" spans="1:7" ht="18" x14ac:dyDescent="0.25">
      <c r="A24" s="60">
        <v>4</v>
      </c>
      <c r="B24" s="69" t="s">
        <v>7</v>
      </c>
      <c r="C24" s="70">
        <v>5098320</v>
      </c>
      <c r="D24" s="70">
        <f>C24-408070</f>
        <v>4690250</v>
      </c>
      <c r="E24" s="70">
        <f>2353828+65253+207459+152935</f>
        <v>2779475</v>
      </c>
      <c r="F24" s="71">
        <f t="shared" si="7"/>
        <v>91.995990836197024</v>
      </c>
      <c r="G24" s="71">
        <f t="shared" si="8"/>
        <v>54.51746849942726</v>
      </c>
    </row>
    <row r="25" spans="1:7" ht="18" x14ac:dyDescent="0.25">
      <c r="A25" s="60">
        <v>5</v>
      </c>
      <c r="B25" s="69" t="s">
        <v>8</v>
      </c>
      <c r="C25" s="70">
        <v>186617</v>
      </c>
      <c r="D25" s="70">
        <f t="shared" si="6"/>
        <v>186617</v>
      </c>
      <c r="E25" s="70">
        <f>1825+52925+131867</f>
        <v>186617</v>
      </c>
      <c r="F25" s="71">
        <f t="shared" si="7"/>
        <v>100</v>
      </c>
      <c r="G25" s="71">
        <f t="shared" si="8"/>
        <v>100</v>
      </c>
    </row>
    <row r="26" spans="1:7" ht="15.75" customHeight="1" x14ac:dyDescent="0.25">
      <c r="A26" s="60">
        <v>6</v>
      </c>
      <c r="B26" s="69" t="s">
        <v>9</v>
      </c>
      <c r="C26" s="70">
        <v>558643</v>
      </c>
      <c r="D26" s="70">
        <f>C26-28350</f>
        <v>530293</v>
      </c>
      <c r="E26" s="70">
        <f>1591+2121+173936</f>
        <v>177648</v>
      </c>
      <c r="F26" s="71">
        <f t="shared" si="7"/>
        <v>94.925202678633752</v>
      </c>
      <c r="G26" s="71">
        <f t="shared" si="8"/>
        <v>31.799915151536851</v>
      </c>
    </row>
    <row r="27" spans="1:7" ht="18" x14ac:dyDescent="0.25">
      <c r="A27" s="60">
        <v>7</v>
      </c>
      <c r="B27" s="69" t="s">
        <v>10</v>
      </c>
      <c r="C27" s="70">
        <v>91768</v>
      </c>
      <c r="D27" s="70">
        <f>C27-13998</f>
        <v>77770</v>
      </c>
      <c r="E27" s="70">
        <v>10656</v>
      </c>
      <c r="F27" s="71">
        <f t="shared" si="7"/>
        <v>84.746316798884152</v>
      </c>
      <c r="G27" s="71">
        <f t="shared" si="8"/>
        <v>11.61189085520007</v>
      </c>
    </row>
  </sheetData>
  <mergeCells count="5">
    <mergeCell ref="A20:G20"/>
    <mergeCell ref="A2:G2"/>
    <mergeCell ref="A12:G12"/>
    <mergeCell ref="A1:G1"/>
    <mergeCell ref="A4:G4"/>
  </mergeCells>
  <conditionalFormatting sqref="C5:G11 C13:G19 C21:G27">
    <cfRule type="expression" dxfId="1" priority="1">
      <formula>MOD(ROW(),2)=0</formula>
    </cfRule>
  </conditionalFormatting>
  <printOptions horizontalCentered="1"/>
  <pageMargins left="0.19685039370078741" right="0.39370078740157483" top="0.59055118110236227" bottom="0.39370078740157483" header="0.31496062992125984" footer="0.31496062992125984"/>
  <pageSetup paperSize="9" scale="97" orientation="portrait" r:id="rId1"/>
  <headerFooter>
    <oddFooter>&amp;CA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372B1-0180-49AA-88D2-1494ACDA93C8}">
  <sheetPr>
    <pageSetUpPr fitToPage="1"/>
  </sheetPr>
  <dimension ref="A1:T28"/>
  <sheetViews>
    <sheetView showZeros="0" tabSelected="1" view="pageBreakPreview" zoomScale="50" zoomScaleNormal="70" zoomScaleSheetLayoutView="50" workbookViewId="0">
      <selection sqref="A1:Q1"/>
    </sheetView>
  </sheetViews>
  <sheetFormatPr defaultColWidth="9.140625" defaultRowHeight="15" x14ac:dyDescent="0.25"/>
  <cols>
    <col min="1" max="1" width="9.140625" style="21"/>
    <col min="2" max="2" width="20.7109375" style="20" customWidth="1"/>
    <col min="3" max="3" width="17.140625" style="20" customWidth="1"/>
    <col min="4" max="6" width="15.7109375" style="20" customWidth="1"/>
    <col min="7" max="7" width="13.140625" style="20" customWidth="1"/>
    <col min="8" max="10" width="15.42578125" style="20" customWidth="1"/>
    <col min="11" max="11" width="14.28515625" style="20" customWidth="1"/>
    <col min="12" max="12" width="13.28515625" style="20" customWidth="1"/>
    <col min="13" max="17" width="9.140625" style="20" customWidth="1"/>
    <col min="18" max="16384" width="9.140625" style="20"/>
  </cols>
  <sheetData>
    <row r="1" spans="1:20" ht="18" x14ac:dyDescent="0.35">
      <c r="A1" s="109" t="s">
        <v>29</v>
      </c>
      <c r="B1" s="109"/>
      <c r="C1" s="109"/>
      <c r="D1" s="109"/>
      <c r="E1" s="109"/>
      <c r="F1" s="109"/>
      <c r="G1" s="109"/>
      <c r="H1" s="109"/>
      <c r="I1" s="109"/>
      <c r="J1" s="109"/>
      <c r="K1" s="109"/>
      <c r="L1" s="109"/>
      <c r="M1" s="109"/>
      <c r="N1" s="109"/>
      <c r="O1" s="109"/>
      <c r="P1" s="109"/>
      <c r="Q1" s="109"/>
    </row>
    <row r="2" spans="1:20" ht="18" x14ac:dyDescent="0.25">
      <c r="A2" s="101" t="s">
        <v>17</v>
      </c>
      <c r="B2" s="101"/>
      <c r="C2" s="101"/>
      <c r="D2" s="101"/>
      <c r="E2" s="101"/>
      <c r="F2" s="101"/>
      <c r="G2" s="101"/>
      <c r="H2" s="101"/>
      <c r="I2" s="101"/>
      <c r="J2" s="101"/>
      <c r="K2" s="101"/>
      <c r="L2" s="101"/>
      <c r="M2" s="101"/>
      <c r="N2" s="101"/>
      <c r="O2" s="101"/>
      <c r="P2" s="101"/>
      <c r="Q2" s="101"/>
    </row>
    <row r="3" spans="1:20" ht="48.75" customHeight="1" x14ac:dyDescent="0.25">
      <c r="A3" s="102" t="s">
        <v>0</v>
      </c>
      <c r="B3" s="102" t="s">
        <v>1</v>
      </c>
      <c r="C3" s="102" t="s">
        <v>18</v>
      </c>
      <c r="D3" s="102" t="s">
        <v>19</v>
      </c>
      <c r="E3" s="102" t="s">
        <v>25</v>
      </c>
      <c r="F3" s="102"/>
      <c r="G3" s="102"/>
      <c r="H3" s="102"/>
      <c r="I3" s="102"/>
      <c r="J3" s="102"/>
      <c r="K3" s="102" t="s">
        <v>26</v>
      </c>
      <c r="L3" s="102" t="s">
        <v>27</v>
      </c>
      <c r="M3" s="102"/>
      <c r="N3" s="102"/>
      <c r="O3" s="102"/>
      <c r="P3" s="102"/>
      <c r="Q3" s="102"/>
    </row>
    <row r="4" spans="1:20" ht="54" x14ac:dyDescent="0.25">
      <c r="A4" s="102"/>
      <c r="B4" s="102"/>
      <c r="C4" s="102"/>
      <c r="D4" s="102"/>
      <c r="E4" s="60" t="s">
        <v>20</v>
      </c>
      <c r="F4" s="60" t="s">
        <v>21</v>
      </c>
      <c r="G4" s="60" t="s">
        <v>22</v>
      </c>
      <c r="H4" s="60" t="s">
        <v>23</v>
      </c>
      <c r="I4" s="60" t="s">
        <v>52</v>
      </c>
      <c r="J4" s="60" t="s">
        <v>24</v>
      </c>
      <c r="K4" s="102"/>
      <c r="L4" s="60" t="s">
        <v>20</v>
      </c>
      <c r="M4" s="60" t="s">
        <v>21</v>
      </c>
      <c r="N4" s="60" t="s">
        <v>22</v>
      </c>
      <c r="O4" s="60" t="s">
        <v>23</v>
      </c>
      <c r="P4" s="60" t="s">
        <v>52</v>
      </c>
      <c r="Q4" s="60" t="s">
        <v>24</v>
      </c>
    </row>
    <row r="5" spans="1:20" ht="18" x14ac:dyDescent="0.25">
      <c r="A5" s="98" t="s">
        <v>42</v>
      </c>
      <c r="B5" s="99"/>
      <c r="C5" s="99"/>
      <c r="D5" s="99"/>
      <c r="E5" s="99"/>
      <c r="F5" s="99"/>
      <c r="G5" s="99"/>
      <c r="H5" s="99"/>
      <c r="I5" s="99"/>
      <c r="J5" s="99"/>
      <c r="K5" s="99"/>
      <c r="L5" s="99"/>
      <c r="M5" s="99"/>
      <c r="N5" s="99"/>
      <c r="O5" s="99"/>
      <c r="P5" s="99"/>
      <c r="Q5" s="100"/>
    </row>
    <row r="6" spans="1:20" ht="18" x14ac:dyDescent="0.25">
      <c r="A6" s="61">
        <v>1</v>
      </c>
      <c r="B6" s="62" t="s">
        <v>4</v>
      </c>
      <c r="C6" s="63">
        <v>1132287</v>
      </c>
      <c r="D6" s="63">
        <v>78861000</v>
      </c>
      <c r="E6" s="63">
        <v>182097</v>
      </c>
      <c r="F6" s="63">
        <v>1737</v>
      </c>
      <c r="G6" s="63">
        <v>125127</v>
      </c>
      <c r="H6" s="63">
        <v>205700</v>
      </c>
      <c r="I6" s="63">
        <v>539720</v>
      </c>
      <c r="J6" s="63">
        <f>E6+F6+G6+H6+I6</f>
        <v>1054381</v>
      </c>
      <c r="K6" s="64">
        <f>C6/D6*100</f>
        <v>1.4358009662570852</v>
      </c>
      <c r="L6" s="65">
        <f>E6/$C6*100</f>
        <v>16.082230035317902</v>
      </c>
      <c r="M6" s="65">
        <f t="shared" ref="M6:P6" si="0">F6/$C6*100</f>
        <v>0.1534063360261135</v>
      </c>
      <c r="N6" s="65">
        <f t="shared" si="0"/>
        <v>11.050820154254177</v>
      </c>
      <c r="O6" s="65">
        <f t="shared" si="0"/>
        <v>18.166772205280111</v>
      </c>
      <c r="P6" s="65">
        <f t="shared" si="0"/>
        <v>47.666360207261938</v>
      </c>
      <c r="Q6" s="65">
        <f>J6/$C6*100</f>
        <v>93.11958893814024</v>
      </c>
    </row>
    <row r="7" spans="1:20" ht="18" x14ac:dyDescent="0.25">
      <c r="A7" s="61">
        <v>2</v>
      </c>
      <c r="B7" s="62" t="s">
        <v>5</v>
      </c>
      <c r="C7" s="63">
        <v>3910007</v>
      </c>
      <c r="D7" s="63">
        <v>69402000</v>
      </c>
      <c r="E7" s="63">
        <v>1190707</v>
      </c>
      <c r="F7" s="63">
        <v>140321</v>
      </c>
      <c r="G7" s="63">
        <v>196750</v>
      </c>
      <c r="H7" s="63">
        <v>220363</v>
      </c>
      <c r="I7" s="63">
        <v>800024</v>
      </c>
      <c r="J7" s="63">
        <f t="shared" ref="J7:J12" si="1">E7+F7+G7+H7+I7</f>
        <v>2548165</v>
      </c>
      <c r="K7" s="64">
        <f t="shared" ref="K7:K12" si="2">C7/D7*100</f>
        <v>5.6338534912538538</v>
      </c>
      <c r="L7" s="65">
        <f t="shared" ref="L7:L12" si="3">E7/$C7*100</f>
        <v>30.452809931030817</v>
      </c>
      <c r="M7" s="65">
        <f t="shared" ref="M7:M12" si="4">F7/$C7*100</f>
        <v>3.5887659536159395</v>
      </c>
      <c r="N7" s="65">
        <f t="shared" ref="N7:N12" si="5">G7/$C7*100</f>
        <v>5.0319603008383362</v>
      </c>
      <c r="O7" s="65">
        <f t="shared" ref="O7:O12" si="6">H7/$C7*100</f>
        <v>5.6358722631442859</v>
      </c>
      <c r="P7" s="65">
        <f t="shared" ref="P7:P12" si="7">I7/$C7*100</f>
        <v>20.460935236177328</v>
      </c>
      <c r="Q7" s="65">
        <f t="shared" ref="Q7:Q12" si="8">J7/$C7*100</f>
        <v>65.170343684806696</v>
      </c>
    </row>
    <row r="8" spans="1:20" ht="18" x14ac:dyDescent="0.25">
      <c r="A8" s="61">
        <v>3</v>
      </c>
      <c r="B8" s="62" t="s">
        <v>6</v>
      </c>
      <c r="C8" s="63">
        <v>837488</v>
      </c>
      <c r="D8" s="63">
        <v>123961000</v>
      </c>
      <c r="E8" s="63">
        <v>291762</v>
      </c>
      <c r="F8" s="63">
        <v>43136</v>
      </c>
      <c r="G8" s="63">
        <v>119948</v>
      </c>
      <c r="H8" s="63">
        <v>360786</v>
      </c>
      <c r="I8" s="63"/>
      <c r="J8" s="63">
        <f t="shared" si="1"/>
        <v>815632</v>
      </c>
      <c r="K8" s="64">
        <f t="shared" si="2"/>
        <v>0.67560603738272529</v>
      </c>
      <c r="L8" s="65">
        <f t="shared" si="3"/>
        <v>34.837752899146018</v>
      </c>
      <c r="M8" s="65">
        <f t="shared" si="4"/>
        <v>5.1506409644078479</v>
      </c>
      <c r="N8" s="65">
        <f t="shared" si="5"/>
        <v>14.322354469556577</v>
      </c>
      <c r="O8" s="65">
        <f t="shared" si="6"/>
        <v>43.07954263225264</v>
      </c>
      <c r="P8" s="65">
        <f t="shared" si="7"/>
        <v>0</v>
      </c>
      <c r="Q8" s="65">
        <f t="shared" si="8"/>
        <v>97.390290965363093</v>
      </c>
      <c r="T8" s="23"/>
    </row>
    <row r="9" spans="1:20" ht="18" x14ac:dyDescent="0.25">
      <c r="A9" s="61">
        <v>4</v>
      </c>
      <c r="B9" s="62" t="s">
        <v>7</v>
      </c>
      <c r="C9" s="63">
        <v>1072953</v>
      </c>
      <c r="D9" s="63">
        <v>76225000</v>
      </c>
      <c r="E9" s="63">
        <v>88405</v>
      </c>
      <c r="F9" s="63">
        <v>5406</v>
      </c>
      <c r="G9" s="63">
        <v>85276</v>
      </c>
      <c r="H9" s="63">
        <v>481167</v>
      </c>
      <c r="I9" s="63">
        <v>168738</v>
      </c>
      <c r="J9" s="63">
        <f t="shared" si="1"/>
        <v>828992</v>
      </c>
      <c r="K9" s="64">
        <f t="shared" si="2"/>
        <v>1.4076129878648738</v>
      </c>
      <c r="L9" s="65">
        <f t="shared" si="3"/>
        <v>8.2394103003579833</v>
      </c>
      <c r="M9" s="65">
        <f t="shared" si="4"/>
        <v>0.50384313199180208</v>
      </c>
      <c r="N9" s="65">
        <f t="shared" si="5"/>
        <v>7.9477852245158926</v>
      </c>
      <c r="O9" s="65">
        <f t="shared" si="6"/>
        <v>44.845114371272551</v>
      </c>
      <c r="P9" s="65">
        <f t="shared" si="7"/>
        <v>15.726504329639788</v>
      </c>
      <c r="Q9" s="65">
        <f t="shared" si="8"/>
        <v>77.262657357778025</v>
      </c>
    </row>
    <row r="10" spans="1:20" ht="18" x14ac:dyDescent="0.25">
      <c r="A10" s="61">
        <v>5</v>
      </c>
      <c r="B10" s="62" t="s">
        <v>8</v>
      </c>
      <c r="C10" s="63">
        <v>1279</v>
      </c>
      <c r="D10" s="63">
        <v>1202000</v>
      </c>
      <c r="E10" s="63"/>
      <c r="F10" s="63"/>
      <c r="G10" s="63"/>
      <c r="H10" s="63"/>
      <c r="I10" s="63"/>
      <c r="J10" s="63">
        <f t="shared" si="1"/>
        <v>0</v>
      </c>
      <c r="K10" s="64">
        <f t="shared" si="2"/>
        <v>0.10640599001663893</v>
      </c>
      <c r="L10" s="65">
        <f t="shared" si="3"/>
        <v>0</v>
      </c>
      <c r="M10" s="65">
        <f t="shared" si="4"/>
        <v>0</v>
      </c>
      <c r="N10" s="65">
        <f t="shared" si="5"/>
        <v>0</v>
      </c>
      <c r="O10" s="65">
        <f t="shared" si="6"/>
        <v>0</v>
      </c>
      <c r="P10" s="65">
        <f t="shared" si="7"/>
        <v>0</v>
      </c>
      <c r="Q10" s="65">
        <f t="shared" si="8"/>
        <v>0</v>
      </c>
    </row>
    <row r="11" spans="1:20" ht="22.5" customHeight="1" x14ac:dyDescent="0.25">
      <c r="A11" s="61">
        <v>6</v>
      </c>
      <c r="B11" s="62" t="s">
        <v>9</v>
      </c>
      <c r="C11" s="63">
        <v>34406</v>
      </c>
      <c r="D11" s="63">
        <v>13365000</v>
      </c>
      <c r="E11" s="63"/>
      <c r="F11" s="63"/>
      <c r="G11" s="63">
        <v>32119</v>
      </c>
      <c r="H11" s="63"/>
      <c r="I11" s="63"/>
      <c r="J11" s="63">
        <f t="shared" si="1"/>
        <v>32119</v>
      </c>
      <c r="K11" s="64">
        <f t="shared" si="2"/>
        <v>0.25743359521137299</v>
      </c>
      <c r="L11" s="65">
        <f t="shared" si="3"/>
        <v>0</v>
      </c>
      <c r="M11" s="65">
        <f t="shared" si="4"/>
        <v>0</v>
      </c>
      <c r="N11" s="65">
        <f t="shared" si="5"/>
        <v>93.352903563331978</v>
      </c>
      <c r="O11" s="65">
        <f t="shared" si="6"/>
        <v>0</v>
      </c>
      <c r="P11" s="65">
        <f t="shared" si="7"/>
        <v>0</v>
      </c>
      <c r="Q11" s="65">
        <f t="shared" si="8"/>
        <v>93.352903563331978</v>
      </c>
    </row>
    <row r="12" spans="1:20" ht="18" x14ac:dyDescent="0.25">
      <c r="A12" s="61">
        <v>7</v>
      </c>
      <c r="B12" s="62" t="s">
        <v>10</v>
      </c>
      <c r="C12" s="63">
        <v>51</v>
      </c>
      <c r="D12" s="63">
        <v>1210000</v>
      </c>
      <c r="E12" s="63">
        <v>3</v>
      </c>
      <c r="F12" s="63"/>
      <c r="G12" s="63">
        <v>48</v>
      </c>
      <c r="H12" s="63"/>
      <c r="I12" s="63"/>
      <c r="J12" s="63">
        <f t="shared" si="1"/>
        <v>51</v>
      </c>
      <c r="K12" s="64">
        <f t="shared" si="2"/>
        <v>4.2148760330578509E-3</v>
      </c>
      <c r="L12" s="65">
        <f t="shared" si="3"/>
        <v>5.8823529411764701</v>
      </c>
      <c r="M12" s="65">
        <f t="shared" si="4"/>
        <v>0</v>
      </c>
      <c r="N12" s="65">
        <f t="shared" si="5"/>
        <v>94.117647058823522</v>
      </c>
      <c r="O12" s="65">
        <f t="shared" si="6"/>
        <v>0</v>
      </c>
      <c r="P12" s="65">
        <f t="shared" si="7"/>
        <v>0</v>
      </c>
      <c r="Q12" s="65">
        <f t="shared" si="8"/>
        <v>100</v>
      </c>
    </row>
    <row r="13" spans="1:20" ht="20.25" customHeight="1" x14ac:dyDescent="0.25">
      <c r="A13" s="103" t="s">
        <v>15</v>
      </c>
      <c r="B13" s="104"/>
      <c r="C13" s="104"/>
      <c r="D13" s="104"/>
      <c r="E13" s="104"/>
      <c r="F13" s="104"/>
      <c r="G13" s="104"/>
      <c r="H13" s="104"/>
      <c r="I13" s="104"/>
      <c r="J13" s="104"/>
      <c r="K13" s="104"/>
      <c r="L13" s="104"/>
      <c r="M13" s="104"/>
      <c r="N13" s="104"/>
      <c r="O13" s="104"/>
      <c r="P13" s="104"/>
      <c r="Q13" s="105"/>
    </row>
    <row r="14" spans="1:20" ht="18" x14ac:dyDescent="0.25">
      <c r="A14" s="61">
        <v>1</v>
      </c>
      <c r="B14" s="62" t="s">
        <v>4</v>
      </c>
      <c r="C14" s="63">
        <v>952260</v>
      </c>
      <c r="D14" s="63">
        <v>77853000</v>
      </c>
      <c r="E14" s="63">
        <v>507578</v>
      </c>
      <c r="F14" s="63">
        <v>1552</v>
      </c>
      <c r="G14" s="63">
        <v>97922</v>
      </c>
      <c r="H14" s="63">
        <v>35149</v>
      </c>
      <c r="I14" s="63">
        <v>284387</v>
      </c>
      <c r="J14" s="63">
        <f>E14+F14+G14+H14+I14</f>
        <v>926588</v>
      </c>
      <c r="K14" s="64">
        <f>C14/D14*100</f>
        <v>1.2231513236484142</v>
      </c>
      <c r="L14" s="65">
        <f>E14/$C14*100</f>
        <v>53.302459412345371</v>
      </c>
      <c r="M14" s="65">
        <f>F14/$C14*100</f>
        <v>0.16298069854871569</v>
      </c>
      <c r="N14" s="65">
        <f t="shared" ref="N14" si="9">G14/$C14*100</f>
        <v>10.283115955726377</v>
      </c>
      <c r="O14" s="65">
        <f t="shared" ref="O14" si="10">H14/$C14*100</f>
        <v>3.6911137714489741</v>
      </c>
      <c r="P14" s="65">
        <f t="shared" ref="P14" si="11">I14/$C14*100</f>
        <v>29.864427782328356</v>
      </c>
      <c r="Q14" s="65">
        <f t="shared" ref="Q14" si="12">J14/$C14*100</f>
        <v>97.304097620397783</v>
      </c>
    </row>
    <row r="15" spans="1:20" ht="18" x14ac:dyDescent="0.25">
      <c r="A15" s="61">
        <v>2</v>
      </c>
      <c r="B15" s="62" t="s">
        <v>5</v>
      </c>
      <c r="C15" s="63">
        <v>2934448</v>
      </c>
      <c r="D15" s="63">
        <v>68476000</v>
      </c>
      <c r="E15" s="63">
        <v>1317121</v>
      </c>
      <c r="F15" s="63">
        <v>167509</v>
      </c>
      <c r="G15" s="63">
        <v>172204</v>
      </c>
      <c r="H15" s="63">
        <v>130724</v>
      </c>
      <c r="I15" s="63">
        <v>430261</v>
      </c>
      <c r="J15" s="63">
        <f t="shared" ref="J15:J28" si="13">E15+F15+G15+H15+I15</f>
        <v>2217819</v>
      </c>
      <c r="K15" s="64">
        <f t="shared" ref="K15:K19" si="14">C15/D15*100</f>
        <v>4.2853671359308372</v>
      </c>
      <c r="L15" s="65">
        <f t="shared" ref="L15:L20" si="15">E15/$C15*100</f>
        <v>44.884796050228189</v>
      </c>
      <c r="M15" s="65">
        <f t="shared" ref="M15:M20" si="16">F15/$C15*100</f>
        <v>5.7083649122424394</v>
      </c>
      <c r="N15" s="65">
        <f t="shared" ref="N15:N20" si="17">G15/$C15*100</f>
        <v>5.8683609319367731</v>
      </c>
      <c r="O15" s="65">
        <f t="shared" ref="O15:O20" si="18">H15/$C15*100</f>
        <v>4.4548071732741557</v>
      </c>
      <c r="P15" s="65">
        <f t="shared" ref="P15:P20" si="19">I15/$C15*100</f>
        <v>14.66241691793482</v>
      </c>
      <c r="Q15" s="65">
        <f t="shared" ref="Q15:Q20" si="20">J15/$C15*100</f>
        <v>75.578745985616379</v>
      </c>
    </row>
    <row r="16" spans="1:20" ht="18" x14ac:dyDescent="0.25">
      <c r="A16" s="61">
        <v>3</v>
      </c>
      <c r="B16" s="62" t="s">
        <v>6</v>
      </c>
      <c r="C16" s="63">
        <v>1111698</v>
      </c>
      <c r="D16" s="63">
        <v>122819000</v>
      </c>
      <c r="E16" s="63">
        <v>300769</v>
      </c>
      <c r="F16" s="63">
        <v>52924</v>
      </c>
      <c r="G16" s="63">
        <v>170218</v>
      </c>
      <c r="H16" s="63">
        <v>533243</v>
      </c>
      <c r="I16" s="63">
        <v>5887</v>
      </c>
      <c r="J16" s="63">
        <f t="shared" si="13"/>
        <v>1063041</v>
      </c>
      <c r="K16" s="64">
        <f t="shared" si="14"/>
        <v>0.90515148307672255</v>
      </c>
      <c r="L16" s="65">
        <f t="shared" si="15"/>
        <v>27.054919591471783</v>
      </c>
      <c r="M16" s="65">
        <f t="shared" si="16"/>
        <v>4.7606454270854135</v>
      </c>
      <c r="N16" s="65">
        <f t="shared" si="17"/>
        <v>15.311532448560669</v>
      </c>
      <c r="O16" s="65">
        <f t="shared" si="18"/>
        <v>47.966534076700682</v>
      </c>
      <c r="P16" s="65">
        <f t="shared" si="19"/>
        <v>0.52955029153601063</v>
      </c>
      <c r="Q16" s="65">
        <f t="shared" si="20"/>
        <v>95.623181835354558</v>
      </c>
    </row>
    <row r="17" spans="1:17" ht="18" x14ac:dyDescent="0.25">
      <c r="A17" s="61">
        <v>4</v>
      </c>
      <c r="B17" s="62" t="s">
        <v>7</v>
      </c>
      <c r="C17" s="63">
        <v>1305515</v>
      </c>
      <c r="D17" s="63">
        <v>75902000</v>
      </c>
      <c r="E17" s="63">
        <v>105621</v>
      </c>
      <c r="F17" s="63">
        <v>8307</v>
      </c>
      <c r="G17" s="63">
        <v>120434</v>
      </c>
      <c r="H17" s="63">
        <v>678445</v>
      </c>
      <c r="I17" s="63">
        <v>155978</v>
      </c>
      <c r="J17" s="63">
        <f t="shared" si="13"/>
        <v>1068785</v>
      </c>
      <c r="K17" s="64">
        <f t="shared" si="14"/>
        <v>1.7200007904930041</v>
      </c>
      <c r="L17" s="65">
        <f t="shared" si="15"/>
        <v>8.0903704668272685</v>
      </c>
      <c r="M17" s="65">
        <f t="shared" si="16"/>
        <v>0.63630061699788976</v>
      </c>
      <c r="N17" s="65">
        <f t="shared" si="17"/>
        <v>9.225018479297443</v>
      </c>
      <c r="O17" s="65">
        <f t="shared" si="18"/>
        <v>51.967614313125473</v>
      </c>
      <c r="P17" s="65">
        <f t="shared" si="19"/>
        <v>11.947622202732255</v>
      </c>
      <c r="Q17" s="65">
        <f t="shared" si="20"/>
        <v>81.866926078980327</v>
      </c>
    </row>
    <row r="18" spans="1:17" ht="18" x14ac:dyDescent="0.25">
      <c r="A18" s="61">
        <v>5</v>
      </c>
      <c r="B18" s="62" t="s">
        <v>8</v>
      </c>
      <c r="C18" s="63">
        <v>2727</v>
      </c>
      <c r="D18" s="63">
        <v>1187000</v>
      </c>
      <c r="E18" s="63"/>
      <c r="F18" s="63"/>
      <c r="G18" s="63">
        <v>602</v>
      </c>
      <c r="H18" s="63"/>
      <c r="I18" s="63"/>
      <c r="J18" s="63">
        <f t="shared" si="13"/>
        <v>602</v>
      </c>
      <c r="K18" s="64">
        <f t="shared" si="14"/>
        <v>0.22973883740522325</v>
      </c>
      <c r="L18" s="65">
        <f t="shared" si="15"/>
        <v>0</v>
      </c>
      <c r="M18" s="65">
        <f t="shared" si="16"/>
        <v>0</v>
      </c>
      <c r="N18" s="65">
        <f t="shared" si="17"/>
        <v>22.075540887422076</v>
      </c>
      <c r="O18" s="65">
        <f t="shared" si="18"/>
        <v>0</v>
      </c>
      <c r="P18" s="65">
        <f t="shared" si="19"/>
        <v>0</v>
      </c>
      <c r="Q18" s="65">
        <f t="shared" si="20"/>
        <v>22.075540887422076</v>
      </c>
    </row>
    <row r="19" spans="1:17" ht="24" customHeight="1" x14ac:dyDescent="0.25">
      <c r="A19" s="61">
        <v>6</v>
      </c>
      <c r="B19" s="62" t="s">
        <v>9</v>
      </c>
      <c r="C19" s="63">
        <v>48373</v>
      </c>
      <c r="D19" s="63">
        <v>13263000</v>
      </c>
      <c r="E19" s="63"/>
      <c r="F19" s="63">
        <v>14</v>
      </c>
      <c r="G19" s="63">
        <v>45886</v>
      </c>
      <c r="H19" s="63"/>
      <c r="I19" s="63"/>
      <c r="J19" s="63">
        <f t="shared" si="13"/>
        <v>45900</v>
      </c>
      <c r="K19" s="64">
        <f t="shared" si="14"/>
        <v>0.36472140541355652</v>
      </c>
      <c r="L19" s="65">
        <f t="shared" si="15"/>
        <v>0</v>
      </c>
      <c r="M19" s="65">
        <f t="shared" si="16"/>
        <v>2.89417650342133E-2</v>
      </c>
      <c r="N19" s="65">
        <f t="shared" si="17"/>
        <v>94.858702168565117</v>
      </c>
      <c r="O19" s="65">
        <f t="shared" si="18"/>
        <v>0</v>
      </c>
      <c r="P19" s="65">
        <f t="shared" si="19"/>
        <v>0</v>
      </c>
      <c r="Q19" s="65">
        <f t="shared" si="20"/>
        <v>94.887643933599321</v>
      </c>
    </row>
    <row r="20" spans="1:17" ht="18" x14ac:dyDescent="0.25">
      <c r="A20" s="61">
        <v>7</v>
      </c>
      <c r="B20" s="62" t="s">
        <v>10</v>
      </c>
      <c r="C20" s="63">
        <v>20</v>
      </c>
      <c r="D20" s="63">
        <v>1198000</v>
      </c>
      <c r="E20" s="63">
        <v>1</v>
      </c>
      <c r="F20" s="63"/>
      <c r="G20" s="63">
        <v>19</v>
      </c>
      <c r="H20" s="63"/>
      <c r="I20" s="63"/>
      <c r="J20" s="63">
        <f t="shared" si="13"/>
        <v>20</v>
      </c>
      <c r="K20" s="43"/>
      <c r="L20" s="65">
        <f t="shared" si="15"/>
        <v>5</v>
      </c>
      <c r="M20" s="65">
        <f t="shared" si="16"/>
        <v>0</v>
      </c>
      <c r="N20" s="65">
        <f t="shared" si="17"/>
        <v>95</v>
      </c>
      <c r="O20" s="65">
        <f t="shared" si="18"/>
        <v>0</v>
      </c>
      <c r="P20" s="65">
        <f t="shared" si="19"/>
        <v>0</v>
      </c>
      <c r="Q20" s="65">
        <f t="shared" si="20"/>
        <v>100</v>
      </c>
    </row>
    <row r="21" spans="1:17" ht="22.5" customHeight="1" x14ac:dyDescent="0.25">
      <c r="A21" s="103" t="s">
        <v>16</v>
      </c>
      <c r="B21" s="104"/>
      <c r="C21" s="104"/>
      <c r="D21" s="104"/>
      <c r="E21" s="104"/>
      <c r="F21" s="104"/>
      <c r="G21" s="104"/>
      <c r="H21" s="104"/>
      <c r="I21" s="104"/>
      <c r="J21" s="104"/>
      <c r="K21" s="104"/>
      <c r="L21" s="104"/>
      <c r="M21" s="104"/>
      <c r="N21" s="104"/>
      <c r="O21" s="104"/>
      <c r="P21" s="104"/>
      <c r="Q21" s="105"/>
    </row>
    <row r="22" spans="1:17" ht="18" x14ac:dyDescent="0.25">
      <c r="A22" s="61">
        <v>1</v>
      </c>
      <c r="B22" s="62" t="s">
        <v>4</v>
      </c>
      <c r="C22" s="63">
        <v>1370170</v>
      </c>
      <c r="D22" s="63">
        <v>76844000</v>
      </c>
      <c r="E22" s="63">
        <v>683408</v>
      </c>
      <c r="F22" s="63">
        <v>1198</v>
      </c>
      <c r="G22" s="63">
        <v>90930</v>
      </c>
      <c r="H22" s="63">
        <v>66272</v>
      </c>
      <c r="I22" s="63">
        <v>497991</v>
      </c>
      <c r="J22" s="63">
        <f t="shared" si="13"/>
        <v>1339799</v>
      </c>
      <c r="K22" s="64">
        <f>C22/D22*100</f>
        <v>1.7830539794909166</v>
      </c>
      <c r="L22" s="65">
        <f>E22/$C22*100</f>
        <v>49.877606428399396</v>
      </c>
      <c r="M22" s="65">
        <f t="shared" ref="M22:Q22" si="21">F22/$C22*100</f>
        <v>8.743440594962669E-2</v>
      </c>
      <c r="N22" s="65">
        <f t="shared" si="21"/>
        <v>6.636402782136523</v>
      </c>
      <c r="O22" s="65">
        <f t="shared" si="21"/>
        <v>4.8367720793770115</v>
      </c>
      <c r="P22" s="65">
        <f t="shared" si="21"/>
        <v>36.345198041118984</v>
      </c>
      <c r="Q22" s="65">
        <f t="shared" si="21"/>
        <v>97.783413736981544</v>
      </c>
    </row>
    <row r="23" spans="1:17" ht="18" x14ac:dyDescent="0.25">
      <c r="A23" s="61">
        <v>2</v>
      </c>
      <c r="B23" s="62" t="s">
        <v>5</v>
      </c>
      <c r="C23" s="63">
        <v>3373813</v>
      </c>
      <c r="D23" s="63">
        <v>67550000</v>
      </c>
      <c r="E23" s="63">
        <v>1173063</v>
      </c>
      <c r="F23" s="63">
        <v>152629</v>
      </c>
      <c r="G23" s="63">
        <v>161782</v>
      </c>
      <c r="H23" s="63">
        <v>794245</v>
      </c>
      <c r="I23" s="63">
        <v>480163</v>
      </c>
      <c r="J23" s="63">
        <f t="shared" si="13"/>
        <v>2761882</v>
      </c>
      <c r="K23" s="64">
        <f t="shared" ref="K23:K27" si="22">C23/D23*100</f>
        <v>4.9945418208734269</v>
      </c>
      <c r="L23" s="65">
        <f t="shared" ref="L23:L27" si="23">E23/$C23*100</f>
        <v>34.769650837198149</v>
      </c>
      <c r="M23" s="65">
        <f t="shared" ref="M23:M27" si="24">F23/$C23*100</f>
        <v>4.523931824318657</v>
      </c>
      <c r="N23" s="65">
        <f t="shared" ref="N23:N27" si="25">G23/$C23*100</f>
        <v>4.7952272399211218</v>
      </c>
      <c r="O23" s="65">
        <f t="shared" ref="O23:O27" si="26">H23/$C23*100</f>
        <v>23.541464805547907</v>
      </c>
      <c r="P23" s="65">
        <f t="shared" ref="P23:P27" si="27">I23/$C23*100</f>
        <v>14.23205731912231</v>
      </c>
      <c r="Q23" s="65">
        <f t="shared" ref="Q23:Q27" si="28">J23/$C23*100</f>
        <v>81.862332026108149</v>
      </c>
    </row>
    <row r="24" spans="1:17" ht="18" x14ac:dyDescent="0.25">
      <c r="A24" s="61">
        <v>3</v>
      </c>
      <c r="B24" s="62" t="s">
        <v>6</v>
      </c>
      <c r="C24" s="63">
        <v>1127907</v>
      </c>
      <c r="D24" s="63">
        <v>121677000</v>
      </c>
      <c r="E24" s="63">
        <v>424778</v>
      </c>
      <c r="F24" s="63">
        <v>48937</v>
      </c>
      <c r="G24" s="63">
        <v>110443</v>
      </c>
      <c r="H24" s="63">
        <v>470283</v>
      </c>
      <c r="I24" s="63"/>
      <c r="J24" s="63">
        <f t="shared" si="13"/>
        <v>1054441</v>
      </c>
      <c r="K24" s="64">
        <f t="shared" si="22"/>
        <v>0.9269681205157918</v>
      </c>
      <c r="L24" s="65">
        <f t="shared" si="23"/>
        <v>37.660729120397342</v>
      </c>
      <c r="M24" s="65">
        <f t="shared" si="24"/>
        <v>4.3387442404382632</v>
      </c>
      <c r="N24" s="65">
        <f t="shared" si="25"/>
        <v>9.791853406353539</v>
      </c>
      <c r="O24" s="65">
        <f t="shared" si="26"/>
        <v>41.695192954738289</v>
      </c>
      <c r="P24" s="65">
        <f t="shared" si="27"/>
        <v>0</v>
      </c>
      <c r="Q24" s="65">
        <f t="shared" si="28"/>
        <v>93.486519721927436</v>
      </c>
    </row>
    <row r="25" spans="1:17" ht="18" x14ac:dyDescent="0.25">
      <c r="A25" s="61">
        <v>4</v>
      </c>
      <c r="B25" s="62" t="s">
        <v>7</v>
      </c>
      <c r="C25" s="63">
        <v>1317722</v>
      </c>
      <c r="D25" s="63">
        <v>75548000</v>
      </c>
      <c r="E25" s="63">
        <v>107271</v>
      </c>
      <c r="F25" s="63">
        <v>6345</v>
      </c>
      <c r="G25" s="63">
        <v>124781</v>
      </c>
      <c r="H25" s="63">
        <v>671053</v>
      </c>
      <c r="I25" s="63">
        <v>132362</v>
      </c>
      <c r="J25" s="63">
        <f t="shared" si="13"/>
        <v>1041812</v>
      </c>
      <c r="K25" s="64">
        <f t="shared" si="22"/>
        <v>1.744218245353947</v>
      </c>
      <c r="L25" s="65">
        <f t="shared" si="23"/>
        <v>8.1406396796896452</v>
      </c>
      <c r="M25" s="65">
        <f t="shared" si="24"/>
        <v>0.48151279253135337</v>
      </c>
      <c r="N25" s="65">
        <f t="shared" si="25"/>
        <v>9.4694480322860208</v>
      </c>
      <c r="O25" s="65">
        <f t="shared" si="26"/>
        <v>50.925233091653624</v>
      </c>
      <c r="P25" s="65">
        <f t="shared" si="27"/>
        <v>10.044759061471236</v>
      </c>
      <c r="Q25" s="65">
        <f t="shared" si="28"/>
        <v>79.061592657631891</v>
      </c>
    </row>
    <row r="26" spans="1:17" ht="18" x14ac:dyDescent="0.25">
      <c r="A26" s="61">
        <v>5</v>
      </c>
      <c r="B26" s="62" t="s">
        <v>8</v>
      </c>
      <c r="C26" s="63">
        <v>1798</v>
      </c>
      <c r="D26" s="63">
        <v>1173000</v>
      </c>
      <c r="E26" s="63"/>
      <c r="F26" s="63"/>
      <c r="G26" s="63"/>
      <c r="H26" s="63"/>
      <c r="I26" s="63"/>
      <c r="J26" s="63">
        <f t="shared" si="13"/>
        <v>0</v>
      </c>
      <c r="K26" s="64">
        <f t="shared" si="22"/>
        <v>0.15328218243819267</v>
      </c>
      <c r="L26" s="65">
        <f t="shared" si="23"/>
        <v>0</v>
      </c>
      <c r="M26" s="65">
        <f t="shared" si="24"/>
        <v>0</v>
      </c>
      <c r="N26" s="65">
        <f t="shared" si="25"/>
        <v>0</v>
      </c>
      <c r="O26" s="65">
        <f t="shared" si="26"/>
        <v>0</v>
      </c>
      <c r="P26" s="65">
        <f t="shared" si="27"/>
        <v>0</v>
      </c>
      <c r="Q26" s="65">
        <f t="shared" si="28"/>
        <v>0</v>
      </c>
    </row>
    <row r="27" spans="1:17" ht="21.75" customHeight="1" x14ac:dyDescent="0.25">
      <c r="A27" s="61">
        <v>6</v>
      </c>
      <c r="B27" s="62" t="s">
        <v>9</v>
      </c>
      <c r="C27" s="63">
        <v>29704</v>
      </c>
      <c r="D27" s="63">
        <v>13161000</v>
      </c>
      <c r="E27" s="63"/>
      <c r="F27" s="63">
        <v>16</v>
      </c>
      <c r="G27" s="63">
        <v>23816</v>
      </c>
      <c r="H27" s="63"/>
      <c r="I27" s="63"/>
      <c r="J27" s="63">
        <f t="shared" si="13"/>
        <v>23832</v>
      </c>
      <c r="K27" s="64">
        <f t="shared" si="22"/>
        <v>0.22569713547602765</v>
      </c>
      <c r="L27" s="65">
        <f t="shared" si="23"/>
        <v>0</v>
      </c>
      <c r="M27" s="65">
        <f t="shared" si="24"/>
        <v>5.3864799353622407E-2</v>
      </c>
      <c r="N27" s="65">
        <f t="shared" si="25"/>
        <v>80.177753837866945</v>
      </c>
      <c r="O27" s="65">
        <f t="shared" si="26"/>
        <v>0</v>
      </c>
      <c r="P27" s="65">
        <f t="shared" si="27"/>
        <v>0</v>
      </c>
      <c r="Q27" s="65">
        <f t="shared" si="28"/>
        <v>80.231618637220578</v>
      </c>
    </row>
    <row r="28" spans="1:17" ht="18" x14ac:dyDescent="0.25">
      <c r="A28" s="61">
        <v>7</v>
      </c>
      <c r="B28" s="62" t="s">
        <v>10</v>
      </c>
      <c r="C28" s="63"/>
      <c r="D28" s="63">
        <v>1186000</v>
      </c>
      <c r="E28" s="63"/>
      <c r="F28" s="63"/>
      <c r="G28" s="63"/>
      <c r="H28" s="63"/>
      <c r="I28" s="63"/>
      <c r="J28" s="63">
        <f t="shared" si="13"/>
        <v>0</v>
      </c>
      <c r="K28" s="64"/>
      <c r="L28" s="65"/>
      <c r="M28" s="65"/>
      <c r="N28" s="65"/>
      <c r="O28" s="65"/>
      <c r="P28" s="65"/>
      <c r="Q28" s="65"/>
    </row>
  </sheetData>
  <mergeCells count="12">
    <mergeCell ref="A21:Q21"/>
    <mergeCell ref="A3:A4"/>
    <mergeCell ref="B3:B4"/>
    <mergeCell ref="C3:C4"/>
    <mergeCell ref="D3:D4"/>
    <mergeCell ref="E3:J3"/>
    <mergeCell ref="A5:Q5"/>
    <mergeCell ref="A1:Q1"/>
    <mergeCell ref="K3:K4"/>
    <mergeCell ref="L3:Q3"/>
    <mergeCell ref="A13:Q13"/>
    <mergeCell ref="A2:Q2"/>
  </mergeCells>
  <conditionalFormatting sqref="C6:Q12 C14:Q20 C22:Q28">
    <cfRule type="expression" dxfId="0" priority="1">
      <formula>MOD(ROW(),2)=0</formula>
    </cfRule>
  </conditionalFormatting>
  <printOptions horizontalCentered="1"/>
  <pageMargins left="0.19685039370078741" right="0.39370078740157483" top="0.59055118110236227" bottom="0.39370078740157483" header="0.31496062992125984" footer="0.31496062992125984"/>
  <pageSetup paperSize="9" scale="62" orientation="landscape" r:id="rId1"/>
  <headerFooter>
    <oddFooter>&amp;CA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15922-3ECB-47F3-BD71-5BC523C70E2A}">
  <sheetPr>
    <pageSetUpPr fitToPage="1"/>
  </sheetPr>
  <dimension ref="A1:T19"/>
  <sheetViews>
    <sheetView view="pageBreakPreview" zoomScale="50" zoomScaleNormal="100" zoomScaleSheetLayoutView="50" workbookViewId="0">
      <selection sqref="A1:Q1"/>
    </sheetView>
  </sheetViews>
  <sheetFormatPr defaultRowHeight="15" x14ac:dyDescent="0.25"/>
  <cols>
    <col min="1" max="1" width="6" customWidth="1"/>
    <col min="2" max="2" width="14" style="9" customWidth="1"/>
    <col min="3" max="3" width="9.140625" style="1"/>
    <col min="4" max="4" width="11.140625" customWidth="1"/>
    <col min="5" max="5" width="11.85546875" customWidth="1"/>
    <col min="6" max="6" width="14.28515625" customWidth="1"/>
    <col min="7" max="7" width="12.5703125" customWidth="1"/>
    <col min="8" max="8" width="8" customWidth="1"/>
    <col min="9" max="9" width="14.42578125" customWidth="1"/>
    <col min="10" max="10" width="14" customWidth="1"/>
    <col min="11" max="11" width="18.28515625" customWidth="1"/>
    <col min="12" max="12" width="9" customWidth="1"/>
    <col min="14" max="14" width="15.140625" customWidth="1"/>
    <col min="15" max="15" width="12.28515625" customWidth="1"/>
    <col min="16" max="16" width="9.85546875" customWidth="1"/>
    <col min="17" max="17" width="10" customWidth="1"/>
  </cols>
  <sheetData>
    <row r="1" spans="1:20" ht="18" x14ac:dyDescent="0.25">
      <c r="A1" s="107" t="s">
        <v>62</v>
      </c>
      <c r="B1" s="107"/>
      <c r="C1" s="107"/>
      <c r="D1" s="107"/>
      <c r="E1" s="107"/>
      <c r="F1" s="107"/>
      <c r="G1" s="107"/>
      <c r="H1" s="107"/>
      <c r="I1" s="107"/>
      <c r="J1" s="107"/>
      <c r="K1" s="107"/>
      <c r="L1" s="107"/>
      <c r="M1" s="107"/>
      <c r="N1" s="107"/>
      <c r="O1" s="107"/>
      <c r="P1" s="107"/>
      <c r="Q1" s="107"/>
    </row>
    <row r="2" spans="1:20" ht="18" x14ac:dyDescent="0.25">
      <c r="A2" s="73" t="s">
        <v>63</v>
      </c>
      <c r="B2" s="73"/>
      <c r="C2" s="73"/>
      <c r="D2" s="73"/>
      <c r="E2" s="73"/>
      <c r="F2" s="73"/>
      <c r="G2" s="73"/>
      <c r="H2" s="73"/>
      <c r="I2" s="73"/>
      <c r="J2" s="73"/>
      <c r="K2" s="73"/>
      <c r="L2" s="73"/>
      <c r="M2" s="73"/>
      <c r="N2" s="73"/>
      <c r="O2" s="73"/>
      <c r="P2" s="73"/>
      <c r="Q2" s="73"/>
    </row>
    <row r="3" spans="1:20" ht="18" x14ac:dyDescent="0.25">
      <c r="A3" s="74" t="s">
        <v>46</v>
      </c>
      <c r="B3" s="74"/>
      <c r="C3" s="74"/>
      <c r="D3" s="74"/>
      <c r="E3" s="74"/>
      <c r="F3" s="74"/>
      <c r="G3" s="74"/>
      <c r="H3" s="74"/>
      <c r="I3" s="74"/>
      <c r="J3" s="74"/>
      <c r="K3" s="74"/>
      <c r="L3" s="74"/>
      <c r="M3" s="74"/>
      <c r="N3" s="74"/>
      <c r="O3" s="74"/>
      <c r="P3" s="74"/>
      <c r="Q3" s="74"/>
    </row>
    <row r="4" spans="1:20" ht="31.5" customHeight="1" x14ac:dyDescent="0.25">
      <c r="A4" s="75" t="s">
        <v>107</v>
      </c>
      <c r="B4" s="75" t="s">
        <v>47</v>
      </c>
      <c r="C4" s="75"/>
      <c r="D4" s="75"/>
      <c r="E4" s="75"/>
      <c r="F4" s="75"/>
      <c r="G4" s="75"/>
      <c r="H4" s="75"/>
      <c r="I4" s="75"/>
      <c r="J4" s="75"/>
      <c r="K4" s="75"/>
      <c r="L4" s="75"/>
      <c r="M4" s="75"/>
      <c r="N4" s="75"/>
      <c r="O4" s="75"/>
      <c r="P4" s="75"/>
      <c r="Q4" s="75" t="s">
        <v>24</v>
      </c>
    </row>
    <row r="5" spans="1:20" ht="35.25" customHeight="1" x14ac:dyDescent="0.25">
      <c r="A5" s="75"/>
      <c r="B5" s="79" t="s">
        <v>32</v>
      </c>
      <c r="C5" s="75" t="s">
        <v>33</v>
      </c>
      <c r="D5" s="75" t="s">
        <v>48</v>
      </c>
      <c r="E5" s="75"/>
      <c r="F5" s="75" t="s">
        <v>21</v>
      </c>
      <c r="G5" s="75" t="s">
        <v>22</v>
      </c>
      <c r="H5" s="75" t="s">
        <v>23</v>
      </c>
      <c r="I5" s="75" t="s">
        <v>49</v>
      </c>
      <c r="J5" s="75" t="s">
        <v>50</v>
      </c>
      <c r="K5" s="75" t="s">
        <v>51</v>
      </c>
      <c r="L5" s="75" t="s">
        <v>52</v>
      </c>
      <c r="M5" s="75" t="s">
        <v>53</v>
      </c>
      <c r="N5" s="75" t="s">
        <v>54</v>
      </c>
      <c r="O5" s="79" t="s">
        <v>55</v>
      </c>
      <c r="P5" s="75" t="s">
        <v>38</v>
      </c>
      <c r="Q5" s="75"/>
    </row>
    <row r="6" spans="1:20" ht="35.25" customHeight="1" x14ac:dyDescent="0.25">
      <c r="A6" s="75"/>
      <c r="B6" s="80"/>
      <c r="C6" s="75"/>
      <c r="D6" s="32" t="s">
        <v>56</v>
      </c>
      <c r="E6" s="32" t="s">
        <v>57</v>
      </c>
      <c r="F6" s="75"/>
      <c r="G6" s="75"/>
      <c r="H6" s="75"/>
      <c r="I6" s="75"/>
      <c r="J6" s="75"/>
      <c r="K6" s="75"/>
      <c r="L6" s="75"/>
      <c r="M6" s="75"/>
      <c r="N6" s="75"/>
      <c r="O6" s="80"/>
      <c r="P6" s="75"/>
      <c r="Q6" s="75"/>
    </row>
    <row r="7" spans="1:20" ht="32.25" customHeight="1" x14ac:dyDescent="0.25">
      <c r="A7" s="75">
        <v>1</v>
      </c>
      <c r="B7" s="76" t="s">
        <v>40</v>
      </c>
      <c r="C7" s="30" t="s">
        <v>16</v>
      </c>
      <c r="D7" s="66">
        <f>ROUND(361.28*365,0)</f>
        <v>131867</v>
      </c>
      <c r="E7" s="33"/>
      <c r="F7" s="33"/>
      <c r="G7" s="33"/>
      <c r="H7" s="33"/>
      <c r="I7" s="66">
        <v>26462</v>
      </c>
      <c r="J7" s="33"/>
      <c r="K7" s="66">
        <f>ROUND(5*365,0)</f>
        <v>1825</v>
      </c>
      <c r="L7" s="66">
        <f>ROUND(145*365,0)-26462</f>
        <v>26463</v>
      </c>
      <c r="M7" s="33"/>
      <c r="N7" s="33"/>
      <c r="O7" s="33"/>
      <c r="P7" s="33"/>
      <c r="Q7" s="66">
        <f>SUM(D7:P7)</f>
        <v>186617</v>
      </c>
      <c r="R7" s="10"/>
    </row>
    <row r="8" spans="1:20" ht="18" x14ac:dyDescent="0.25">
      <c r="A8" s="75"/>
      <c r="B8" s="76"/>
      <c r="C8" s="30" t="s">
        <v>41</v>
      </c>
      <c r="D8" s="66">
        <f>ROUND(270.39*365,0)</f>
        <v>98692</v>
      </c>
      <c r="E8" s="33"/>
      <c r="F8" s="33"/>
      <c r="G8" s="33"/>
      <c r="H8" s="33"/>
      <c r="I8" s="66">
        <v>31866</v>
      </c>
      <c r="J8" s="33"/>
      <c r="K8" s="66">
        <f>ROUND(5*365,0)</f>
        <v>1825</v>
      </c>
      <c r="L8" s="66">
        <f>ROUND((179.61-5)*365,0)-31866</f>
        <v>31867</v>
      </c>
      <c r="M8" s="33"/>
      <c r="N8" s="33"/>
      <c r="O8" s="33"/>
      <c r="P8" s="33"/>
      <c r="Q8" s="66">
        <f>SUM(D8:P8)</f>
        <v>164250</v>
      </c>
      <c r="R8" s="10"/>
      <c r="T8" s="23"/>
    </row>
    <row r="9" spans="1:20" ht="18" x14ac:dyDescent="0.25">
      <c r="A9" s="75"/>
      <c r="B9" s="76"/>
      <c r="C9" s="30" t="s">
        <v>42</v>
      </c>
      <c r="D9" s="66">
        <f>ROUND(444*365,0)</f>
        <v>162060</v>
      </c>
      <c r="E9" s="33"/>
      <c r="F9" s="33"/>
      <c r="G9" s="33"/>
      <c r="H9" s="33"/>
      <c r="I9" s="66">
        <v>11680</v>
      </c>
      <c r="J9" s="33"/>
      <c r="K9" s="66">
        <f>ROUND(5*365,0)</f>
        <v>1825</v>
      </c>
      <c r="L9" s="66">
        <f>ROUND((69-5)*365,0)-11680</f>
        <v>11680</v>
      </c>
      <c r="M9" s="33"/>
      <c r="N9" s="33"/>
      <c r="O9" s="33"/>
      <c r="P9" s="33"/>
      <c r="Q9" s="66">
        <f>SUM(D9:P9)</f>
        <v>187245</v>
      </c>
      <c r="R9" s="10"/>
    </row>
    <row r="10" spans="1:20" ht="15" customHeight="1" x14ac:dyDescent="0.25">
      <c r="A10" s="75">
        <v>2</v>
      </c>
      <c r="B10" s="76" t="s">
        <v>43</v>
      </c>
      <c r="C10" s="30" t="s">
        <v>16</v>
      </c>
      <c r="D10" s="66">
        <f>ROUND(93.09,0)+1</f>
        <v>94</v>
      </c>
      <c r="E10" s="33"/>
      <c r="F10" s="66">
        <f>ROUND(791.26,0)</f>
        <v>791</v>
      </c>
      <c r="G10" s="66">
        <f>ROUND(279.27,0)</f>
        <v>279</v>
      </c>
      <c r="H10" s="33"/>
      <c r="I10" s="33"/>
      <c r="J10" s="33"/>
      <c r="K10" s="33"/>
      <c r="L10" s="33"/>
      <c r="M10" s="33"/>
      <c r="N10" s="33"/>
      <c r="O10" s="33"/>
      <c r="P10" s="33"/>
      <c r="Q10" s="66">
        <f t="shared" ref="Q10:Q11" si="0">SUM(D10:P10)</f>
        <v>1164</v>
      </c>
      <c r="R10" s="10"/>
    </row>
    <row r="11" spans="1:20" ht="18" x14ac:dyDescent="0.25">
      <c r="A11" s="75"/>
      <c r="B11" s="76"/>
      <c r="C11" s="30" t="s">
        <v>41</v>
      </c>
      <c r="D11" s="66">
        <f>ROUND(112.98,0)</f>
        <v>113</v>
      </c>
      <c r="E11" s="33"/>
      <c r="F11" s="66">
        <f>ROUND(960.29,0)</f>
        <v>960</v>
      </c>
      <c r="G11" s="66">
        <f>ROUND(338.91,0)</f>
        <v>339</v>
      </c>
      <c r="H11" s="33"/>
      <c r="I11" s="33"/>
      <c r="J11" s="33"/>
      <c r="K11" s="33"/>
      <c r="L11" s="33"/>
      <c r="M11" s="33"/>
      <c r="N11" s="33"/>
      <c r="O11" s="33"/>
      <c r="P11" s="33"/>
      <c r="Q11" s="66">
        <f t="shared" si="0"/>
        <v>1412</v>
      </c>
      <c r="R11" s="10"/>
    </row>
    <row r="12" spans="1:20" ht="18" x14ac:dyDescent="0.25">
      <c r="A12" s="75"/>
      <c r="B12" s="76"/>
      <c r="C12" s="30" t="s">
        <v>42</v>
      </c>
      <c r="D12" s="66">
        <f>ROUND(167.28,0)</f>
        <v>167</v>
      </c>
      <c r="E12" s="33"/>
      <c r="F12" s="66">
        <f>ROUND(1421.94,0)</f>
        <v>1422</v>
      </c>
      <c r="G12" s="66">
        <f>ROUND(501.86,0)</f>
        <v>502</v>
      </c>
      <c r="H12" s="33"/>
      <c r="I12" s="33"/>
      <c r="J12" s="33"/>
      <c r="K12" s="33"/>
      <c r="L12" s="33"/>
      <c r="M12" s="33"/>
      <c r="N12" s="33"/>
      <c r="O12" s="33"/>
      <c r="P12" s="33"/>
      <c r="Q12" s="66">
        <f>SUM(D12:P12)</f>
        <v>2091</v>
      </c>
      <c r="R12" s="10"/>
    </row>
    <row r="13" spans="1:20" ht="15" customHeight="1" x14ac:dyDescent="0.35">
      <c r="A13" s="75">
        <v>3</v>
      </c>
      <c r="B13" s="76" t="s">
        <v>44</v>
      </c>
      <c r="C13" s="30" t="s">
        <v>16</v>
      </c>
      <c r="D13" s="33"/>
      <c r="E13" s="33"/>
      <c r="F13" s="33"/>
      <c r="G13" s="33"/>
      <c r="H13" s="33"/>
      <c r="I13" s="33"/>
      <c r="J13" s="33"/>
      <c r="K13" s="33"/>
      <c r="L13" s="33"/>
      <c r="M13" s="67">
        <f>ROUND((125+36+1637),0)</f>
        <v>1798</v>
      </c>
      <c r="N13" s="33"/>
      <c r="O13" s="33"/>
      <c r="P13" s="33"/>
      <c r="Q13" s="37">
        <f>SUM(D13:P13)</f>
        <v>1798</v>
      </c>
      <c r="R13" s="10"/>
    </row>
    <row r="14" spans="1:20" ht="18" x14ac:dyDescent="0.35">
      <c r="A14" s="75"/>
      <c r="B14" s="76"/>
      <c r="C14" s="30" t="s">
        <v>41</v>
      </c>
      <c r="D14" s="33"/>
      <c r="E14" s="33"/>
      <c r="F14" s="33"/>
      <c r="G14" s="66">
        <v>602</v>
      </c>
      <c r="H14" s="33"/>
      <c r="I14" s="33"/>
      <c r="J14" s="33"/>
      <c r="K14" s="33"/>
      <c r="L14" s="33"/>
      <c r="M14" s="66">
        <v>2125</v>
      </c>
      <c r="N14" s="33"/>
      <c r="O14" s="33"/>
      <c r="P14" s="33"/>
      <c r="Q14" s="37">
        <f t="shared" ref="Q14:Q15" si="1">SUM(D14:P14)</f>
        <v>2727</v>
      </c>
      <c r="R14" s="10"/>
    </row>
    <row r="15" spans="1:20" ht="18" x14ac:dyDescent="0.35">
      <c r="A15" s="75"/>
      <c r="B15" s="76"/>
      <c r="C15" s="30" t="s">
        <v>42</v>
      </c>
      <c r="D15" s="33"/>
      <c r="E15" s="33"/>
      <c r="F15" s="33"/>
      <c r="G15" s="34"/>
      <c r="H15" s="33"/>
      <c r="I15" s="33"/>
      <c r="J15" s="33"/>
      <c r="K15" s="33"/>
      <c r="L15" s="33"/>
      <c r="M15" s="66">
        <f>ROUND((224.3+22.79+1032.01),0)</f>
        <v>1279</v>
      </c>
      <c r="N15" s="33"/>
      <c r="O15" s="33"/>
      <c r="P15" s="33"/>
      <c r="Q15" s="37">
        <f t="shared" si="1"/>
        <v>1279</v>
      </c>
      <c r="R15" s="10"/>
    </row>
    <row r="16" spans="1:20" ht="18" x14ac:dyDescent="0.35">
      <c r="A16" s="75">
        <v>4</v>
      </c>
      <c r="B16" s="76" t="s">
        <v>58</v>
      </c>
      <c r="C16" s="30" t="s">
        <v>16</v>
      </c>
      <c r="D16" s="33"/>
      <c r="E16" s="33"/>
      <c r="F16" s="33"/>
      <c r="G16" s="28">
        <f>ROUND(19.64*365,0)</f>
        <v>7169</v>
      </c>
      <c r="H16" s="33"/>
      <c r="I16" s="33"/>
      <c r="J16" s="33"/>
      <c r="K16" s="33"/>
      <c r="L16" s="33"/>
      <c r="M16" s="33"/>
      <c r="N16" s="33"/>
      <c r="O16" s="33"/>
      <c r="P16" s="33"/>
      <c r="Q16" s="37">
        <f t="shared" ref="Q16:Q18" si="2">SUM(D16:P16)</f>
        <v>7169</v>
      </c>
      <c r="R16" s="10"/>
    </row>
    <row r="17" spans="1:18" ht="18" x14ac:dyDescent="0.35">
      <c r="A17" s="75"/>
      <c r="B17" s="76"/>
      <c r="C17" s="30" t="s">
        <v>41</v>
      </c>
      <c r="D17" s="33"/>
      <c r="E17" s="33"/>
      <c r="F17" s="33"/>
      <c r="G17" s="28">
        <f>ROUND(28.31*365,0)</f>
        <v>10333</v>
      </c>
      <c r="H17" s="33"/>
      <c r="I17" s="33"/>
      <c r="J17" s="33"/>
      <c r="K17" s="33"/>
      <c r="L17" s="33"/>
      <c r="M17" s="33"/>
      <c r="N17" s="33"/>
      <c r="O17" s="33"/>
      <c r="P17" s="33"/>
      <c r="Q17" s="37">
        <f t="shared" si="2"/>
        <v>10333</v>
      </c>
      <c r="R17" s="10"/>
    </row>
    <row r="18" spans="1:18" ht="18" x14ac:dyDescent="0.35">
      <c r="A18" s="75"/>
      <c r="B18" s="76"/>
      <c r="C18" s="30" t="s">
        <v>42</v>
      </c>
      <c r="D18" s="33"/>
      <c r="E18" s="33"/>
      <c r="F18" s="33"/>
      <c r="G18" s="28">
        <f>ROUND(30.87*365,0)</f>
        <v>11268</v>
      </c>
      <c r="H18" s="33"/>
      <c r="I18" s="33"/>
      <c r="J18" s="33"/>
      <c r="K18" s="33"/>
      <c r="L18" s="33"/>
      <c r="M18" s="33"/>
      <c r="N18" s="33"/>
      <c r="O18" s="33"/>
      <c r="P18" s="33"/>
      <c r="Q18" s="37">
        <f t="shared" si="2"/>
        <v>11268</v>
      </c>
      <c r="R18" s="10"/>
    </row>
    <row r="19" spans="1:18" ht="17.25" x14ac:dyDescent="0.25">
      <c r="A19" s="78" t="s">
        <v>68</v>
      </c>
      <c r="B19" s="78"/>
      <c r="C19" s="78"/>
      <c r="D19" s="78"/>
      <c r="E19" s="78"/>
      <c r="F19" s="78"/>
      <c r="G19" s="78"/>
      <c r="H19" s="78"/>
      <c r="I19" s="78"/>
      <c r="J19" s="78"/>
      <c r="K19" s="78"/>
      <c r="L19" s="78"/>
      <c r="M19" s="78"/>
      <c r="N19" s="78"/>
      <c r="O19" s="78"/>
      <c r="P19" s="78"/>
      <c r="Q19" s="78"/>
    </row>
  </sheetData>
  <mergeCells count="29">
    <mergeCell ref="A19:Q19"/>
    <mergeCell ref="B5:B6"/>
    <mergeCell ref="A7:A9"/>
    <mergeCell ref="B7:B9"/>
    <mergeCell ref="A10:A12"/>
    <mergeCell ref="B10:B12"/>
    <mergeCell ref="A13:A15"/>
    <mergeCell ref="B13:B15"/>
    <mergeCell ref="K5:K6"/>
    <mergeCell ref="L5:L6"/>
    <mergeCell ref="M5:M6"/>
    <mergeCell ref="N5:N6"/>
    <mergeCell ref="O5:O6"/>
    <mergeCell ref="P5:P6"/>
    <mergeCell ref="A4:A6"/>
    <mergeCell ref="B4:P4"/>
    <mergeCell ref="A16:A18"/>
    <mergeCell ref="B16:B18"/>
    <mergeCell ref="A1:Q1"/>
    <mergeCell ref="A2:Q2"/>
    <mergeCell ref="A3:Q3"/>
    <mergeCell ref="Q4:Q6"/>
    <mergeCell ref="C5:C6"/>
    <mergeCell ref="D5:E5"/>
    <mergeCell ref="F5:F6"/>
    <mergeCell ref="G5:G6"/>
    <mergeCell ref="H5:H6"/>
    <mergeCell ref="I5:I6"/>
    <mergeCell ref="J5:J6"/>
  </mergeCells>
  <conditionalFormatting sqref="C7:Q18">
    <cfRule type="expression" dxfId="14" priority="1">
      <formula>MOD(ROW(),2)=0</formula>
    </cfRule>
  </conditionalFormatting>
  <printOptions horizontalCentered="1"/>
  <pageMargins left="0.19685039370078741" right="0.39370078740157483" top="0.59055118110236227" bottom="0.39370078740157483" header="0.31496062992125984" footer="0.31496062992125984"/>
  <pageSetup paperSize="9" scale="70" orientation="landscape" r:id="rId1"/>
  <headerFooter>
    <oddFooter>&amp;CA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8E8FB-1E29-4B10-B15E-A751ADBD7E85}">
  <sheetPr>
    <pageSetUpPr fitToPage="1"/>
  </sheetPr>
  <dimension ref="A1:T21"/>
  <sheetViews>
    <sheetView showZeros="0" view="pageBreakPreview" zoomScale="50" zoomScaleNormal="100" zoomScaleSheetLayoutView="50" workbookViewId="0">
      <selection sqref="A1:K1"/>
    </sheetView>
  </sheetViews>
  <sheetFormatPr defaultRowHeight="15" x14ac:dyDescent="0.25"/>
  <cols>
    <col min="1" max="1" width="5.5703125" style="1" customWidth="1"/>
    <col min="2" max="2" width="17.28515625" customWidth="1"/>
    <col min="3" max="3" width="11.85546875" customWidth="1"/>
    <col min="4" max="4" width="13.5703125" customWidth="1"/>
    <col min="5" max="5" width="13" customWidth="1"/>
    <col min="6" max="6" width="13.85546875" customWidth="1"/>
    <col min="7" max="7" width="11" customWidth="1"/>
    <col min="8" max="8" width="15.5703125" customWidth="1"/>
    <col min="9" max="9" width="10.7109375" customWidth="1"/>
    <col min="10" max="10" width="15.42578125" customWidth="1"/>
    <col min="11" max="11" width="13.42578125" customWidth="1"/>
  </cols>
  <sheetData>
    <row r="1" spans="1:20" ht="18" x14ac:dyDescent="0.25">
      <c r="A1" s="107" t="s">
        <v>69</v>
      </c>
      <c r="B1" s="107"/>
      <c r="C1" s="107"/>
      <c r="D1" s="107"/>
      <c r="E1" s="107"/>
      <c r="F1" s="107"/>
      <c r="G1" s="107"/>
      <c r="H1" s="107"/>
      <c r="I1" s="107"/>
      <c r="J1" s="107"/>
      <c r="K1" s="107"/>
    </row>
    <row r="2" spans="1:20" ht="18" x14ac:dyDescent="0.25">
      <c r="A2" s="73" t="s">
        <v>70</v>
      </c>
      <c r="B2" s="73"/>
      <c r="C2" s="73"/>
      <c r="D2" s="73"/>
      <c r="E2" s="73"/>
      <c r="F2" s="73"/>
      <c r="G2" s="73"/>
      <c r="H2" s="73"/>
      <c r="I2" s="73"/>
      <c r="J2" s="73"/>
      <c r="K2" s="73"/>
    </row>
    <row r="3" spans="1:20" ht="24.75" customHeight="1" x14ac:dyDescent="0.25">
      <c r="A3" s="74" t="s">
        <v>46</v>
      </c>
      <c r="B3" s="74"/>
      <c r="C3" s="74"/>
      <c r="D3" s="74"/>
      <c r="E3" s="74"/>
      <c r="F3" s="74"/>
      <c r="G3" s="74"/>
      <c r="H3" s="74"/>
      <c r="I3" s="74"/>
      <c r="J3" s="74"/>
      <c r="K3" s="74"/>
    </row>
    <row r="4" spans="1:20" ht="15" customHeight="1" x14ac:dyDescent="0.25">
      <c r="A4" s="77" t="s">
        <v>106</v>
      </c>
      <c r="B4" s="77" t="s">
        <v>31</v>
      </c>
      <c r="C4" s="77"/>
      <c r="D4" s="77"/>
      <c r="E4" s="77"/>
      <c r="F4" s="77"/>
      <c r="G4" s="77"/>
      <c r="H4" s="77"/>
      <c r="I4" s="77"/>
      <c r="J4" s="77"/>
      <c r="K4" s="77" t="s">
        <v>64</v>
      </c>
    </row>
    <row r="5" spans="1:20" ht="48" customHeight="1" x14ac:dyDescent="0.25">
      <c r="A5" s="77"/>
      <c r="B5" s="29" t="s">
        <v>32</v>
      </c>
      <c r="C5" s="29" t="s">
        <v>33</v>
      </c>
      <c r="D5" s="29" t="s">
        <v>34</v>
      </c>
      <c r="E5" s="29" t="s">
        <v>35</v>
      </c>
      <c r="F5" s="29" t="s">
        <v>60</v>
      </c>
      <c r="G5" s="29" t="s">
        <v>36</v>
      </c>
      <c r="H5" s="29" t="s">
        <v>37</v>
      </c>
      <c r="I5" s="29" t="s">
        <v>38</v>
      </c>
      <c r="J5" s="29" t="s">
        <v>65</v>
      </c>
      <c r="K5" s="77"/>
    </row>
    <row r="6" spans="1:20" ht="18" x14ac:dyDescent="0.35">
      <c r="A6" s="75">
        <v>1</v>
      </c>
      <c r="B6" s="81" t="s">
        <v>40</v>
      </c>
      <c r="C6" s="30" t="s">
        <v>16</v>
      </c>
      <c r="D6" s="37">
        <v>2933505</v>
      </c>
      <c r="E6" s="35"/>
      <c r="F6" s="37">
        <v>977835</v>
      </c>
      <c r="G6" s="35"/>
      <c r="H6" s="35"/>
      <c r="I6" s="35"/>
      <c r="J6" s="35"/>
      <c r="K6" s="37">
        <f>SUM(D6:J6)</f>
        <v>3911340</v>
      </c>
    </row>
    <row r="7" spans="1:20" ht="18" x14ac:dyDescent="0.35">
      <c r="A7" s="75"/>
      <c r="B7" s="81"/>
      <c r="C7" s="30" t="s">
        <v>41</v>
      </c>
      <c r="D7" s="37">
        <v>2944181</v>
      </c>
      <c r="E7" s="35"/>
      <c r="F7" s="37">
        <v>981394</v>
      </c>
      <c r="G7" s="35"/>
      <c r="H7" s="35"/>
      <c r="I7" s="35"/>
      <c r="J7" s="35"/>
      <c r="K7" s="37">
        <f>SUM(D7:J7)</f>
        <v>3925575</v>
      </c>
    </row>
    <row r="8" spans="1:20" ht="18" x14ac:dyDescent="0.35">
      <c r="A8" s="75"/>
      <c r="B8" s="81"/>
      <c r="C8" s="30" t="s">
        <v>42</v>
      </c>
      <c r="D8" s="37">
        <v>2839825</v>
      </c>
      <c r="E8" s="35"/>
      <c r="F8" s="37">
        <v>946608</v>
      </c>
      <c r="G8" s="35"/>
      <c r="H8" s="35"/>
      <c r="I8" s="35"/>
      <c r="J8" s="35"/>
      <c r="K8" s="37">
        <f>SUM(D8:J8)</f>
        <v>3786433</v>
      </c>
      <c r="T8" s="23"/>
    </row>
    <row r="9" spans="1:20" ht="18" x14ac:dyDescent="0.35">
      <c r="A9" s="75">
        <v>2</v>
      </c>
      <c r="B9" s="81" t="s">
        <v>43</v>
      </c>
      <c r="C9" s="30" t="s">
        <v>16</v>
      </c>
      <c r="D9" s="35"/>
      <c r="E9" s="37">
        <v>12303</v>
      </c>
      <c r="F9" s="35"/>
      <c r="G9" s="35"/>
      <c r="H9" s="35"/>
      <c r="I9" s="35"/>
      <c r="J9" s="35"/>
      <c r="K9" s="37">
        <f t="shared" ref="K9:K14" si="0">SUM(D9:J9)</f>
        <v>12303</v>
      </c>
    </row>
    <row r="10" spans="1:20" ht="18" x14ac:dyDescent="0.35">
      <c r="A10" s="75"/>
      <c r="B10" s="81"/>
      <c r="C10" s="30" t="s">
        <v>41</v>
      </c>
      <c r="D10" s="35"/>
      <c r="E10" s="37">
        <v>13294</v>
      </c>
      <c r="F10" s="35"/>
      <c r="G10" s="35"/>
      <c r="H10" s="35"/>
      <c r="I10" s="35"/>
      <c r="J10" s="35"/>
      <c r="K10" s="37">
        <f t="shared" si="0"/>
        <v>13294</v>
      </c>
    </row>
    <row r="11" spans="1:20" ht="18" x14ac:dyDescent="0.35">
      <c r="A11" s="75"/>
      <c r="B11" s="81"/>
      <c r="C11" s="30" t="s">
        <v>42</v>
      </c>
      <c r="D11" s="35"/>
      <c r="E11" s="37">
        <v>18064</v>
      </c>
      <c r="F11" s="35"/>
      <c r="G11" s="35"/>
      <c r="H11" s="35"/>
      <c r="I11" s="35"/>
      <c r="J11" s="35"/>
      <c r="K11" s="37">
        <f t="shared" si="0"/>
        <v>18064</v>
      </c>
    </row>
    <row r="12" spans="1:20" ht="18" x14ac:dyDescent="0.35">
      <c r="A12" s="75">
        <v>3</v>
      </c>
      <c r="B12" s="81" t="s">
        <v>44</v>
      </c>
      <c r="C12" s="30" t="s">
        <v>16</v>
      </c>
      <c r="D12" s="35"/>
      <c r="E12" s="37">
        <v>2521317</v>
      </c>
      <c r="F12" s="35"/>
      <c r="G12" s="35"/>
      <c r="H12" s="35"/>
      <c r="I12" s="35"/>
      <c r="J12" s="37">
        <v>852496</v>
      </c>
      <c r="K12" s="37">
        <f t="shared" si="0"/>
        <v>3373813</v>
      </c>
    </row>
    <row r="13" spans="1:20" ht="18" x14ac:dyDescent="0.35">
      <c r="A13" s="75"/>
      <c r="B13" s="81"/>
      <c r="C13" s="30" t="s">
        <v>41</v>
      </c>
      <c r="D13" s="35"/>
      <c r="E13" s="37">
        <v>2485317</v>
      </c>
      <c r="F13" s="35"/>
      <c r="G13" s="35"/>
      <c r="H13" s="35"/>
      <c r="I13" s="35"/>
      <c r="J13" s="37">
        <v>449131</v>
      </c>
      <c r="K13" s="37">
        <f t="shared" si="0"/>
        <v>2934448</v>
      </c>
    </row>
    <row r="14" spans="1:20" ht="18" x14ac:dyDescent="0.35">
      <c r="A14" s="75"/>
      <c r="B14" s="81"/>
      <c r="C14" s="30" t="s">
        <v>42</v>
      </c>
      <c r="D14" s="35"/>
      <c r="E14" s="37">
        <v>3193378</v>
      </c>
      <c r="F14" s="35"/>
      <c r="G14" s="35"/>
      <c r="H14" s="35"/>
      <c r="I14" s="35"/>
      <c r="J14" s="37">
        <v>716629</v>
      </c>
      <c r="K14" s="37">
        <f t="shared" si="0"/>
        <v>3910007</v>
      </c>
    </row>
    <row r="15" spans="1:20" ht="18" x14ac:dyDescent="0.35">
      <c r="A15" s="75">
        <v>4</v>
      </c>
      <c r="B15" s="81" t="s">
        <v>45</v>
      </c>
      <c r="C15" s="30" t="s">
        <v>16</v>
      </c>
      <c r="D15" s="35"/>
      <c r="E15" s="37">
        <v>3107</v>
      </c>
      <c r="F15" s="35"/>
      <c r="G15" s="35"/>
      <c r="H15" s="35"/>
      <c r="I15" s="35"/>
      <c r="J15" s="35"/>
      <c r="K15" s="37">
        <f>SUM(D15:J15)</f>
        <v>3107</v>
      </c>
    </row>
    <row r="16" spans="1:20" ht="18" x14ac:dyDescent="0.35">
      <c r="A16" s="75"/>
      <c r="B16" s="81"/>
      <c r="C16" s="30" t="s">
        <v>41</v>
      </c>
      <c r="D16" s="35"/>
      <c r="E16" s="37">
        <v>14186</v>
      </c>
      <c r="F16" s="35"/>
      <c r="G16" s="35"/>
      <c r="H16" s="35"/>
      <c r="I16" s="35"/>
      <c r="J16" s="35"/>
      <c r="K16" s="37">
        <f t="shared" ref="K16:K19" si="1">SUM(D16:J16)</f>
        <v>14186</v>
      </c>
    </row>
    <row r="17" spans="1:11" ht="18" x14ac:dyDescent="0.35">
      <c r="A17" s="75"/>
      <c r="B17" s="81"/>
      <c r="C17" s="30" t="s">
        <v>42</v>
      </c>
      <c r="D17" s="35"/>
      <c r="E17" s="37">
        <v>23501</v>
      </c>
      <c r="F17" s="35"/>
      <c r="G17" s="35"/>
      <c r="H17" s="35"/>
      <c r="I17" s="35"/>
      <c r="J17" s="35"/>
      <c r="K17" s="37">
        <f t="shared" si="1"/>
        <v>23501</v>
      </c>
    </row>
    <row r="18" spans="1:11" ht="18" x14ac:dyDescent="0.35">
      <c r="A18" s="75">
        <v>5</v>
      </c>
      <c r="B18" s="81" t="s">
        <v>66</v>
      </c>
      <c r="C18" s="30" t="s">
        <v>16</v>
      </c>
      <c r="D18" s="82">
        <v>356873</v>
      </c>
      <c r="E18" s="83"/>
      <c r="F18" s="83"/>
      <c r="G18" s="84"/>
      <c r="H18" s="35"/>
      <c r="I18" s="35"/>
      <c r="J18" s="35"/>
      <c r="K18" s="37">
        <f>SUM(D18:J18)</f>
        <v>356873</v>
      </c>
    </row>
    <row r="19" spans="1:11" ht="18" x14ac:dyDescent="0.35">
      <c r="A19" s="75"/>
      <c r="B19" s="81"/>
      <c r="C19" s="30" t="s">
        <v>41</v>
      </c>
      <c r="D19" s="82">
        <v>408201</v>
      </c>
      <c r="E19" s="83"/>
      <c r="F19" s="83"/>
      <c r="G19" s="84"/>
      <c r="H19" s="35"/>
      <c r="I19" s="35"/>
      <c r="J19" s="35"/>
      <c r="K19" s="37">
        <f t="shared" si="1"/>
        <v>408201</v>
      </c>
    </row>
    <row r="20" spans="1:11" ht="18" x14ac:dyDescent="0.35">
      <c r="A20" s="75"/>
      <c r="B20" s="81"/>
      <c r="C20" s="30" t="s">
        <v>42</v>
      </c>
      <c r="D20" s="82">
        <v>337694</v>
      </c>
      <c r="E20" s="83"/>
      <c r="F20" s="83"/>
      <c r="G20" s="84"/>
      <c r="H20" s="35"/>
      <c r="I20" s="35"/>
      <c r="J20" s="35"/>
      <c r="K20" s="37">
        <f>SUM(D20:J20)</f>
        <v>337694</v>
      </c>
    </row>
    <row r="21" spans="1:11" ht="73.5" customHeight="1" x14ac:dyDescent="0.25">
      <c r="A21" s="72" t="s">
        <v>105</v>
      </c>
      <c r="B21" s="72"/>
      <c r="C21" s="72"/>
      <c r="D21" s="72"/>
      <c r="E21" s="72"/>
      <c r="F21" s="72"/>
      <c r="G21" s="72"/>
      <c r="H21" s="72"/>
      <c r="I21" s="72"/>
      <c r="J21" s="72"/>
      <c r="K21" s="72"/>
    </row>
  </sheetData>
  <mergeCells count="20">
    <mergeCell ref="A21:K21"/>
    <mergeCell ref="A18:A20"/>
    <mergeCell ref="B18:B20"/>
    <mergeCell ref="D18:G18"/>
    <mergeCell ref="D19:G19"/>
    <mergeCell ref="D20:G20"/>
    <mergeCell ref="A1:K1"/>
    <mergeCell ref="A2:K2"/>
    <mergeCell ref="A3:K3"/>
    <mergeCell ref="A15:A17"/>
    <mergeCell ref="B15:B17"/>
    <mergeCell ref="A9:A11"/>
    <mergeCell ref="B9:B11"/>
    <mergeCell ref="A12:A14"/>
    <mergeCell ref="B12:B14"/>
    <mergeCell ref="A4:A5"/>
    <mergeCell ref="B4:J4"/>
    <mergeCell ref="K4:K5"/>
    <mergeCell ref="A6:A8"/>
    <mergeCell ref="B6:B8"/>
  </mergeCells>
  <conditionalFormatting sqref="C6:K20">
    <cfRule type="expression" dxfId="13" priority="1">
      <formula>MOD(ROW(),2)=0</formula>
    </cfRule>
  </conditionalFormatting>
  <printOptions horizontalCentered="1"/>
  <pageMargins left="0.19685039370078741" right="0.39370078740157483" top="0.59055118110236227" bottom="0.39370078740157483" header="0.31496062992125984" footer="0.31496062992125984"/>
  <pageSetup paperSize="9" orientation="landscape" r:id="rId1"/>
  <headerFooter>
    <oddFooter>&amp;CA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4269F-3404-40D5-A263-D572DE661859}">
  <sheetPr>
    <pageSetUpPr fitToPage="1"/>
  </sheetPr>
  <dimension ref="A1:T22"/>
  <sheetViews>
    <sheetView showZeros="0" view="pageBreakPreview" zoomScale="50" zoomScaleNormal="85" zoomScaleSheetLayoutView="50" workbookViewId="0">
      <selection activeCell="M51" sqref="M51"/>
    </sheetView>
  </sheetViews>
  <sheetFormatPr defaultRowHeight="15" x14ac:dyDescent="0.25"/>
  <cols>
    <col min="1" max="1" width="6" style="1" customWidth="1"/>
    <col min="2" max="2" width="14" customWidth="1"/>
    <col min="4" max="4" width="11.85546875" customWidth="1"/>
    <col min="5" max="5" width="12" customWidth="1"/>
    <col min="6" max="6" width="16" customWidth="1"/>
    <col min="7" max="7" width="15" customWidth="1"/>
    <col min="8" max="8" width="12.5703125" customWidth="1"/>
    <col min="9" max="9" width="14.42578125" customWidth="1"/>
    <col min="10" max="10" width="12.42578125" customWidth="1"/>
    <col min="11" max="11" width="10.5703125" customWidth="1"/>
    <col min="12" max="12" width="12.85546875" customWidth="1"/>
    <col min="13" max="13" width="11.7109375" bestFit="1" customWidth="1"/>
    <col min="14" max="14" width="16.7109375" customWidth="1"/>
    <col min="15" max="15" width="12.28515625" customWidth="1"/>
    <col min="16" max="16" width="10.28515625" customWidth="1"/>
    <col min="17" max="17" width="12.140625" customWidth="1"/>
  </cols>
  <sheetData>
    <row r="1" spans="1:20" ht="18" x14ac:dyDescent="0.25">
      <c r="A1" s="107" t="s">
        <v>71</v>
      </c>
      <c r="B1" s="107"/>
      <c r="C1" s="107"/>
      <c r="D1" s="107"/>
      <c r="E1" s="107"/>
      <c r="F1" s="107"/>
      <c r="G1" s="107"/>
      <c r="H1" s="107"/>
      <c r="I1" s="107"/>
      <c r="J1" s="107"/>
      <c r="K1" s="107"/>
      <c r="L1" s="107"/>
      <c r="M1" s="107"/>
      <c r="N1" s="107"/>
      <c r="O1" s="107"/>
      <c r="P1" s="107"/>
      <c r="Q1" s="107"/>
    </row>
    <row r="2" spans="1:20" ht="18" x14ac:dyDescent="0.25">
      <c r="A2" s="73" t="s">
        <v>72</v>
      </c>
      <c r="B2" s="73"/>
      <c r="C2" s="73"/>
      <c r="D2" s="73"/>
      <c r="E2" s="73"/>
      <c r="F2" s="73"/>
      <c r="G2" s="73"/>
      <c r="H2" s="73"/>
      <c r="I2" s="73"/>
      <c r="J2" s="73"/>
      <c r="K2" s="73"/>
      <c r="L2" s="73"/>
      <c r="M2" s="73"/>
      <c r="N2" s="73"/>
      <c r="O2" s="73"/>
      <c r="P2" s="73"/>
      <c r="Q2" s="73"/>
    </row>
    <row r="3" spans="1:20" ht="18" x14ac:dyDescent="0.25">
      <c r="A3" s="74" t="s">
        <v>46</v>
      </c>
      <c r="B3" s="74"/>
      <c r="C3" s="74"/>
      <c r="D3" s="74"/>
      <c r="E3" s="74"/>
      <c r="F3" s="74"/>
      <c r="G3" s="74"/>
      <c r="H3" s="74"/>
      <c r="I3" s="74"/>
      <c r="J3" s="74"/>
      <c r="K3" s="74"/>
      <c r="L3" s="74"/>
      <c r="M3" s="74"/>
      <c r="N3" s="74"/>
      <c r="O3" s="74"/>
      <c r="P3" s="74"/>
      <c r="Q3" s="74"/>
    </row>
    <row r="4" spans="1:20" ht="15.75" customHeight="1" x14ac:dyDescent="0.25">
      <c r="A4" s="75" t="s">
        <v>107</v>
      </c>
      <c r="B4" s="75" t="s">
        <v>47</v>
      </c>
      <c r="C4" s="75"/>
      <c r="D4" s="75"/>
      <c r="E4" s="75"/>
      <c r="F4" s="75"/>
      <c r="G4" s="75"/>
      <c r="H4" s="75"/>
      <c r="I4" s="75"/>
      <c r="J4" s="75"/>
      <c r="K4" s="75"/>
      <c r="L4" s="75"/>
      <c r="M4" s="75"/>
      <c r="N4" s="75"/>
      <c r="O4" s="75"/>
      <c r="P4" s="75"/>
      <c r="Q4" s="77" t="s">
        <v>24</v>
      </c>
    </row>
    <row r="5" spans="1:20" ht="45" customHeight="1" x14ac:dyDescent="0.25">
      <c r="A5" s="75"/>
      <c r="B5" s="79" t="s">
        <v>32</v>
      </c>
      <c r="C5" s="75" t="s">
        <v>33</v>
      </c>
      <c r="D5" s="75" t="s">
        <v>48</v>
      </c>
      <c r="E5" s="75"/>
      <c r="F5" s="79" t="s">
        <v>21</v>
      </c>
      <c r="G5" s="75" t="s">
        <v>22</v>
      </c>
      <c r="H5" s="75" t="s">
        <v>23</v>
      </c>
      <c r="I5" s="79" t="s">
        <v>49</v>
      </c>
      <c r="J5" s="75" t="s">
        <v>50</v>
      </c>
      <c r="K5" s="79" t="s">
        <v>51</v>
      </c>
      <c r="L5" s="75" t="s">
        <v>52</v>
      </c>
      <c r="M5" s="75" t="s">
        <v>53</v>
      </c>
      <c r="N5" s="79" t="s">
        <v>54</v>
      </c>
      <c r="O5" s="79" t="s">
        <v>67</v>
      </c>
      <c r="P5" s="75" t="s">
        <v>38</v>
      </c>
      <c r="Q5" s="77"/>
    </row>
    <row r="6" spans="1:20" ht="47.25" customHeight="1" x14ac:dyDescent="0.25">
      <c r="A6" s="75"/>
      <c r="B6" s="80"/>
      <c r="C6" s="75"/>
      <c r="D6" s="32" t="s">
        <v>56</v>
      </c>
      <c r="E6" s="32" t="s">
        <v>57</v>
      </c>
      <c r="F6" s="80"/>
      <c r="G6" s="75"/>
      <c r="H6" s="75"/>
      <c r="I6" s="80"/>
      <c r="J6" s="75"/>
      <c r="K6" s="80"/>
      <c r="L6" s="75"/>
      <c r="M6" s="75"/>
      <c r="N6" s="80"/>
      <c r="O6" s="80"/>
      <c r="P6" s="75"/>
      <c r="Q6" s="77"/>
    </row>
    <row r="7" spans="1:20" ht="18" x14ac:dyDescent="0.35">
      <c r="A7" s="75">
        <v>1</v>
      </c>
      <c r="B7" s="81" t="s">
        <v>40</v>
      </c>
      <c r="C7" s="30" t="s">
        <v>16</v>
      </c>
      <c r="D7" s="82">
        <v>1511830</v>
      </c>
      <c r="E7" s="84"/>
      <c r="F7" s="37"/>
      <c r="G7" s="37">
        <v>933409</v>
      </c>
      <c r="H7" s="37"/>
      <c r="I7" s="37">
        <v>1466101</v>
      </c>
      <c r="J7" s="37"/>
      <c r="K7" s="37"/>
      <c r="L7" s="37"/>
      <c r="M7" s="37"/>
      <c r="N7" s="37"/>
      <c r="O7" s="37"/>
      <c r="P7" s="37"/>
      <c r="Q7" s="37">
        <f>SUM(D7:P7)</f>
        <v>3911340</v>
      </c>
      <c r="R7" s="18"/>
    </row>
    <row r="8" spans="1:20" ht="18" x14ac:dyDescent="0.35">
      <c r="A8" s="75"/>
      <c r="B8" s="81"/>
      <c r="C8" s="30" t="s">
        <v>41</v>
      </c>
      <c r="D8" s="82">
        <v>1398315</v>
      </c>
      <c r="E8" s="84"/>
      <c r="F8" s="37"/>
      <c r="G8" s="37">
        <v>985631</v>
      </c>
      <c r="H8" s="37"/>
      <c r="I8" s="37">
        <v>1541629</v>
      </c>
      <c r="J8" s="37"/>
      <c r="K8" s="37"/>
      <c r="L8" s="37"/>
      <c r="M8" s="37"/>
      <c r="N8" s="37"/>
      <c r="O8" s="37"/>
      <c r="P8" s="37"/>
      <c r="Q8" s="37">
        <f t="shared" ref="Q8:Q21" si="0">SUM(D8:P8)</f>
        <v>3925575</v>
      </c>
      <c r="R8" s="18"/>
      <c r="T8" s="23"/>
    </row>
    <row r="9" spans="1:20" ht="18" x14ac:dyDescent="0.35">
      <c r="A9" s="75"/>
      <c r="B9" s="81"/>
      <c r="C9" s="30" t="s">
        <v>42</v>
      </c>
      <c r="D9" s="82">
        <v>1235824</v>
      </c>
      <c r="E9" s="84"/>
      <c r="F9" s="37"/>
      <c r="G9" s="37">
        <v>1216939</v>
      </c>
      <c r="H9" s="37"/>
      <c r="I9" s="37">
        <v>1318351</v>
      </c>
      <c r="J9" s="37"/>
      <c r="K9" s="37"/>
      <c r="L9" s="37"/>
      <c r="M9" s="37"/>
      <c r="N9" s="37">
        <v>15319</v>
      </c>
      <c r="O9" s="37"/>
      <c r="P9" s="37"/>
      <c r="Q9" s="37">
        <f t="shared" si="0"/>
        <v>3786433</v>
      </c>
      <c r="R9" s="18"/>
    </row>
    <row r="10" spans="1:20" ht="20.25" customHeight="1" x14ac:dyDescent="0.35">
      <c r="A10" s="75">
        <v>2</v>
      </c>
      <c r="B10" s="81" t="s">
        <v>43</v>
      </c>
      <c r="C10" s="30" t="s">
        <v>16</v>
      </c>
      <c r="D10" s="37"/>
      <c r="E10" s="37"/>
      <c r="F10" s="37">
        <v>12303</v>
      </c>
      <c r="G10" s="37"/>
      <c r="H10" s="37"/>
      <c r="I10" s="37"/>
      <c r="J10" s="37"/>
      <c r="K10" s="37"/>
      <c r="L10" s="37"/>
      <c r="M10" s="37"/>
      <c r="N10" s="37"/>
      <c r="O10" s="37"/>
      <c r="P10" s="37"/>
      <c r="Q10" s="37">
        <f t="shared" si="0"/>
        <v>12303</v>
      </c>
      <c r="R10" s="18"/>
    </row>
    <row r="11" spans="1:20" ht="18" x14ac:dyDescent="0.35">
      <c r="A11" s="75"/>
      <c r="B11" s="81"/>
      <c r="C11" s="30" t="s">
        <v>41</v>
      </c>
      <c r="D11" s="37"/>
      <c r="E11" s="37"/>
      <c r="F11" s="37">
        <v>13294</v>
      </c>
      <c r="G11" s="37"/>
      <c r="H11" s="37"/>
      <c r="I11" s="37"/>
      <c r="J11" s="37"/>
      <c r="K11" s="37"/>
      <c r="L11" s="37"/>
      <c r="M11" s="37"/>
      <c r="N11" s="37"/>
      <c r="O11" s="37"/>
      <c r="P11" s="38"/>
      <c r="Q11" s="37">
        <f t="shared" si="0"/>
        <v>13294</v>
      </c>
      <c r="R11" s="18"/>
    </row>
    <row r="12" spans="1:20" ht="18" x14ac:dyDescent="0.35">
      <c r="A12" s="75"/>
      <c r="B12" s="81"/>
      <c r="C12" s="30" t="s">
        <v>42</v>
      </c>
      <c r="D12" s="37"/>
      <c r="E12" s="37"/>
      <c r="F12" s="37">
        <v>18064</v>
      </c>
      <c r="G12" s="37"/>
      <c r="H12" s="37"/>
      <c r="I12" s="37"/>
      <c r="J12" s="37"/>
      <c r="K12" s="37"/>
      <c r="L12" s="37"/>
      <c r="M12" s="37"/>
      <c r="N12" s="37"/>
      <c r="O12" s="37"/>
      <c r="P12" s="38"/>
      <c r="Q12" s="37">
        <f t="shared" si="0"/>
        <v>18064</v>
      </c>
      <c r="R12" s="18"/>
    </row>
    <row r="13" spans="1:20" ht="18" x14ac:dyDescent="0.35">
      <c r="A13" s="75">
        <v>3</v>
      </c>
      <c r="B13" s="81" t="s">
        <v>44</v>
      </c>
      <c r="C13" s="30" t="s">
        <v>16</v>
      </c>
      <c r="D13" s="37">
        <v>1173063</v>
      </c>
      <c r="E13" s="37">
        <v>0</v>
      </c>
      <c r="F13" s="37">
        <v>152629</v>
      </c>
      <c r="G13" s="37">
        <v>161782</v>
      </c>
      <c r="H13" s="37">
        <f>1274408-L13</f>
        <v>794245</v>
      </c>
      <c r="I13" s="37">
        <v>0</v>
      </c>
      <c r="J13" s="37">
        <v>0</v>
      </c>
      <c r="K13" s="37">
        <v>0</v>
      </c>
      <c r="L13" s="37">
        <f>480163</f>
        <v>480163</v>
      </c>
      <c r="M13" s="37">
        <v>162800</v>
      </c>
      <c r="N13" s="37"/>
      <c r="O13" s="37">
        <v>449131</v>
      </c>
      <c r="P13" s="37"/>
      <c r="Q13" s="37">
        <f>SUM(D13:P13)</f>
        <v>3373813</v>
      </c>
      <c r="R13" s="18"/>
    </row>
    <row r="14" spans="1:20" ht="18" x14ac:dyDescent="0.35">
      <c r="A14" s="75"/>
      <c r="B14" s="81"/>
      <c r="C14" s="30" t="s">
        <v>41</v>
      </c>
      <c r="D14" s="37">
        <v>1317121</v>
      </c>
      <c r="E14" s="37">
        <v>0</v>
      </c>
      <c r="F14" s="37">
        <v>167509</v>
      </c>
      <c r="G14" s="37">
        <v>172204</v>
      </c>
      <c r="H14" s="37">
        <f>560985-L14</f>
        <v>130724</v>
      </c>
      <c r="I14" s="37">
        <v>0</v>
      </c>
      <c r="J14" s="37">
        <v>0</v>
      </c>
      <c r="K14" s="37">
        <v>0</v>
      </c>
      <c r="L14" s="37">
        <v>430261</v>
      </c>
      <c r="M14" s="37"/>
      <c r="N14" s="37"/>
      <c r="O14" s="37">
        <v>716629</v>
      </c>
      <c r="P14" s="37"/>
      <c r="Q14" s="37">
        <f t="shared" si="0"/>
        <v>2934448</v>
      </c>
      <c r="R14" s="18"/>
    </row>
    <row r="15" spans="1:20" ht="18" x14ac:dyDescent="0.35">
      <c r="A15" s="75"/>
      <c r="B15" s="81"/>
      <c r="C15" s="30" t="s">
        <v>42</v>
      </c>
      <c r="D15" s="37">
        <v>1190707</v>
      </c>
      <c r="E15" s="37">
        <v>0</v>
      </c>
      <c r="F15" s="37">
        <v>140321</v>
      </c>
      <c r="G15" s="37">
        <v>196750</v>
      </c>
      <c r="H15" s="37">
        <f>1020387-L15</f>
        <v>220363</v>
      </c>
      <c r="I15" s="37">
        <v>0</v>
      </c>
      <c r="J15" s="37">
        <v>0</v>
      </c>
      <c r="K15" s="37">
        <v>0</v>
      </c>
      <c r="L15" s="37">
        <v>800024</v>
      </c>
      <c r="M15" s="37">
        <v>771223</v>
      </c>
      <c r="N15" s="37"/>
      <c r="O15" s="37">
        <v>590619</v>
      </c>
      <c r="P15" s="37"/>
      <c r="Q15" s="37">
        <f t="shared" si="0"/>
        <v>3910007</v>
      </c>
      <c r="R15" s="18"/>
    </row>
    <row r="16" spans="1:20" ht="22.5" customHeight="1" x14ac:dyDescent="0.35">
      <c r="A16" s="75">
        <v>4</v>
      </c>
      <c r="B16" s="81" t="s">
        <v>58</v>
      </c>
      <c r="C16" s="30" t="s">
        <v>16</v>
      </c>
      <c r="D16" s="37"/>
      <c r="E16" s="37"/>
      <c r="F16" s="37"/>
      <c r="G16" s="39">
        <v>1554</v>
      </c>
      <c r="H16" s="39">
        <v>1553</v>
      </c>
      <c r="I16" s="37"/>
      <c r="J16" s="37"/>
      <c r="K16" s="37"/>
      <c r="L16" s="37"/>
      <c r="M16" s="37"/>
      <c r="N16" s="37"/>
      <c r="O16" s="37"/>
      <c r="P16" s="37"/>
      <c r="Q16" s="37">
        <f t="shared" si="0"/>
        <v>3107</v>
      </c>
      <c r="R16" s="18"/>
    </row>
    <row r="17" spans="1:18" ht="18" x14ac:dyDescent="0.35">
      <c r="A17" s="75"/>
      <c r="B17" s="81"/>
      <c r="C17" s="30" t="s">
        <v>41</v>
      </c>
      <c r="D17" s="37"/>
      <c r="E17" s="37"/>
      <c r="F17" s="37"/>
      <c r="G17" s="39">
        <v>7093</v>
      </c>
      <c r="H17" s="39">
        <v>7093</v>
      </c>
      <c r="I17" s="37"/>
      <c r="J17" s="37"/>
      <c r="K17" s="37"/>
      <c r="L17" s="37"/>
      <c r="M17" s="37"/>
      <c r="N17" s="37"/>
      <c r="O17" s="37"/>
      <c r="P17" s="37"/>
      <c r="Q17" s="37">
        <f t="shared" si="0"/>
        <v>14186</v>
      </c>
      <c r="R17" s="18"/>
    </row>
    <row r="18" spans="1:18" ht="18" x14ac:dyDescent="0.35">
      <c r="A18" s="75"/>
      <c r="B18" s="81"/>
      <c r="C18" s="30" t="s">
        <v>42</v>
      </c>
      <c r="D18" s="37"/>
      <c r="E18" s="37"/>
      <c r="F18" s="37"/>
      <c r="G18" s="39">
        <v>11750</v>
      </c>
      <c r="H18" s="39">
        <v>11751</v>
      </c>
      <c r="I18" s="37"/>
      <c r="J18" s="37"/>
      <c r="K18" s="37"/>
      <c r="L18" s="37"/>
      <c r="M18" s="37"/>
      <c r="N18" s="37"/>
      <c r="O18" s="37"/>
      <c r="P18" s="37"/>
      <c r="Q18" s="37">
        <f>SUM(D18:P18)</f>
        <v>23501</v>
      </c>
      <c r="R18" s="18"/>
    </row>
    <row r="19" spans="1:18" ht="18" x14ac:dyDescent="0.35">
      <c r="A19" s="75">
        <v>5</v>
      </c>
      <c r="B19" s="81" t="s">
        <v>66</v>
      </c>
      <c r="C19" s="30" t="s">
        <v>16</v>
      </c>
      <c r="D19" s="82">
        <v>270320</v>
      </c>
      <c r="E19" s="84"/>
      <c r="F19" s="37"/>
      <c r="G19" s="39">
        <v>43276</v>
      </c>
      <c r="H19" s="39">
        <v>43277</v>
      </c>
      <c r="I19" s="37"/>
      <c r="J19" s="37"/>
      <c r="K19" s="37"/>
      <c r="L19" s="37"/>
      <c r="M19" s="37"/>
      <c r="N19" s="37"/>
      <c r="O19" s="37"/>
      <c r="P19" s="37"/>
      <c r="Q19" s="37">
        <f t="shared" si="0"/>
        <v>356873</v>
      </c>
      <c r="R19" s="18"/>
    </row>
    <row r="20" spans="1:18" ht="18" x14ac:dyDescent="0.35">
      <c r="A20" s="75"/>
      <c r="B20" s="81"/>
      <c r="C20" s="30" t="s">
        <v>41</v>
      </c>
      <c r="D20" s="82">
        <v>314100</v>
      </c>
      <c r="E20" s="84"/>
      <c r="F20" s="37"/>
      <c r="G20" s="39">
        <v>47050</v>
      </c>
      <c r="H20" s="39">
        <v>47051</v>
      </c>
      <c r="I20" s="37"/>
      <c r="J20" s="37"/>
      <c r="K20" s="37"/>
      <c r="L20" s="37"/>
      <c r="M20" s="37"/>
      <c r="N20" s="37"/>
      <c r="O20" s="37"/>
      <c r="P20" s="37"/>
      <c r="Q20" s="37">
        <f t="shared" si="0"/>
        <v>408201</v>
      </c>
      <c r="R20" s="18"/>
    </row>
    <row r="21" spans="1:18" ht="18" x14ac:dyDescent="0.35">
      <c r="A21" s="75"/>
      <c r="B21" s="81"/>
      <c r="C21" s="30" t="s">
        <v>42</v>
      </c>
      <c r="D21" s="82">
        <v>272274</v>
      </c>
      <c r="E21" s="84"/>
      <c r="F21" s="37"/>
      <c r="G21" s="39">
        <v>32710</v>
      </c>
      <c r="H21" s="39">
        <v>32710</v>
      </c>
      <c r="I21" s="37"/>
      <c r="J21" s="37"/>
      <c r="K21" s="37"/>
      <c r="L21" s="37"/>
      <c r="M21" s="37"/>
      <c r="N21" s="37"/>
      <c r="O21" s="37"/>
      <c r="P21" s="37"/>
      <c r="Q21" s="37">
        <f t="shared" si="0"/>
        <v>337694</v>
      </c>
      <c r="R21" s="18"/>
    </row>
    <row r="22" spans="1:18" ht="17.25" x14ac:dyDescent="0.25">
      <c r="A22" s="78" t="s">
        <v>68</v>
      </c>
      <c r="B22" s="78"/>
      <c r="C22" s="78"/>
      <c r="D22" s="78"/>
      <c r="E22" s="78"/>
      <c r="F22" s="78"/>
      <c r="G22" s="78"/>
      <c r="H22" s="78"/>
      <c r="I22" s="78"/>
      <c r="J22" s="78"/>
      <c r="K22" s="78"/>
      <c r="L22" s="78"/>
      <c r="M22" s="78"/>
      <c r="N22" s="78"/>
      <c r="O22" s="78"/>
      <c r="P22" s="78"/>
      <c r="Q22" s="78"/>
    </row>
  </sheetData>
  <mergeCells count="37">
    <mergeCell ref="D5:E5"/>
    <mergeCell ref="F5:F6"/>
    <mergeCell ref="G5:G6"/>
    <mergeCell ref="H5:H6"/>
    <mergeCell ref="I5:I6"/>
    <mergeCell ref="A1:Q1"/>
    <mergeCell ref="A2:Q2"/>
    <mergeCell ref="A3:Q3"/>
    <mergeCell ref="A19:A21"/>
    <mergeCell ref="B19:B21"/>
    <mergeCell ref="D19:E19"/>
    <mergeCell ref="D20:E20"/>
    <mergeCell ref="D21:E21"/>
    <mergeCell ref="A10:A12"/>
    <mergeCell ref="B10:B12"/>
    <mergeCell ref="A13:A15"/>
    <mergeCell ref="B13:B15"/>
    <mergeCell ref="A16:A18"/>
    <mergeCell ref="B16:B18"/>
    <mergeCell ref="N5:N6"/>
    <mergeCell ref="O5:O6"/>
    <mergeCell ref="A22:Q22"/>
    <mergeCell ref="B5:B6"/>
    <mergeCell ref="P5:P6"/>
    <mergeCell ref="A7:A9"/>
    <mergeCell ref="B7:B9"/>
    <mergeCell ref="D7:E7"/>
    <mergeCell ref="D8:E8"/>
    <mergeCell ref="D9:E9"/>
    <mergeCell ref="J5:J6"/>
    <mergeCell ref="K5:K6"/>
    <mergeCell ref="L5:L6"/>
    <mergeCell ref="M5:M6"/>
    <mergeCell ref="A4:A6"/>
    <mergeCell ref="B4:P4"/>
    <mergeCell ref="Q4:Q6"/>
    <mergeCell ref="C5:C6"/>
  </mergeCells>
  <conditionalFormatting sqref="C7:Q21">
    <cfRule type="expression" dxfId="12" priority="1">
      <formula>MOD(ROW(),2)=0</formula>
    </cfRule>
  </conditionalFormatting>
  <printOptions horizontalCentered="1"/>
  <pageMargins left="0.19685039370078741" right="0.39370078740157483" top="0.59055118110236227" bottom="0.39370078740157483" header="0.31496062992125984" footer="0.31496062992125984"/>
  <pageSetup paperSize="9" scale="67" orientation="landscape" r:id="rId1"/>
  <headerFooter>
    <oddFooter>&amp;CA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B8CA4-F282-47B9-B9B9-69D249EB5281}">
  <sheetPr>
    <pageSetUpPr fitToPage="1"/>
  </sheetPr>
  <dimension ref="A1:T22"/>
  <sheetViews>
    <sheetView showZeros="0" view="pageBreakPreview" zoomScale="50" zoomScaleNormal="100" zoomScaleSheetLayoutView="50" workbookViewId="0">
      <selection sqref="A1:K1"/>
    </sheetView>
  </sheetViews>
  <sheetFormatPr defaultRowHeight="15" x14ac:dyDescent="0.25"/>
  <cols>
    <col min="1" max="1" width="6.85546875" style="1" customWidth="1"/>
    <col min="2" max="2" width="15" customWidth="1"/>
    <col min="3" max="3" width="10.42578125" customWidth="1"/>
    <col min="4" max="4" width="13.5703125" customWidth="1"/>
    <col min="5" max="5" width="14" customWidth="1"/>
    <col min="6" max="6" width="13.85546875" customWidth="1"/>
    <col min="7" max="7" width="11" customWidth="1"/>
    <col min="8" max="8" width="14.7109375" customWidth="1"/>
    <col min="9" max="9" width="10.42578125" customWidth="1"/>
    <col min="10" max="10" width="11.85546875" customWidth="1"/>
    <col min="11" max="11" width="15.140625" customWidth="1"/>
    <col min="12" max="12" width="12.28515625" customWidth="1"/>
  </cols>
  <sheetData>
    <row r="1" spans="1:20" ht="18" x14ac:dyDescent="0.25">
      <c r="A1" s="107" t="s">
        <v>74</v>
      </c>
      <c r="B1" s="107"/>
      <c r="C1" s="107"/>
      <c r="D1" s="107"/>
      <c r="E1" s="107"/>
      <c r="F1" s="107"/>
      <c r="G1" s="107"/>
      <c r="H1" s="107"/>
      <c r="I1" s="107"/>
      <c r="J1" s="107"/>
      <c r="K1" s="107"/>
    </row>
    <row r="2" spans="1:20" ht="18" x14ac:dyDescent="0.25">
      <c r="A2" s="73" t="s">
        <v>75</v>
      </c>
      <c r="B2" s="73"/>
      <c r="C2" s="73"/>
      <c r="D2" s="73"/>
      <c r="E2" s="73"/>
      <c r="F2" s="73"/>
      <c r="G2" s="73"/>
      <c r="H2" s="73"/>
      <c r="I2" s="73"/>
      <c r="J2" s="73"/>
      <c r="K2" s="73"/>
    </row>
    <row r="3" spans="1:20" ht="18" x14ac:dyDescent="0.25">
      <c r="A3" s="74" t="s">
        <v>46</v>
      </c>
      <c r="B3" s="74"/>
      <c r="C3" s="74"/>
      <c r="D3" s="74"/>
      <c r="E3" s="74"/>
      <c r="F3" s="74"/>
      <c r="G3" s="74"/>
      <c r="H3" s="74"/>
      <c r="I3" s="74"/>
      <c r="J3" s="74"/>
      <c r="K3" s="74"/>
    </row>
    <row r="4" spans="1:20" ht="15" customHeight="1" x14ac:dyDescent="0.25">
      <c r="A4" s="77" t="s">
        <v>106</v>
      </c>
      <c r="B4" s="77" t="s">
        <v>31</v>
      </c>
      <c r="C4" s="77"/>
      <c r="D4" s="77"/>
      <c r="E4" s="77"/>
      <c r="F4" s="77"/>
      <c r="G4" s="77"/>
      <c r="H4" s="77"/>
      <c r="I4" s="77"/>
      <c r="J4" s="77"/>
      <c r="K4" s="77" t="s">
        <v>64</v>
      </c>
    </row>
    <row r="5" spans="1:20" ht="66" customHeight="1" x14ac:dyDescent="0.25">
      <c r="A5" s="77"/>
      <c r="B5" s="29" t="s">
        <v>32</v>
      </c>
      <c r="C5" s="29" t="s">
        <v>33</v>
      </c>
      <c r="D5" s="29" t="s">
        <v>34</v>
      </c>
      <c r="E5" s="29" t="s">
        <v>35</v>
      </c>
      <c r="F5" s="29" t="s">
        <v>60</v>
      </c>
      <c r="G5" s="29" t="s">
        <v>36</v>
      </c>
      <c r="H5" s="29" t="s">
        <v>37</v>
      </c>
      <c r="I5" s="29" t="s">
        <v>38</v>
      </c>
      <c r="J5" s="29" t="s">
        <v>73</v>
      </c>
      <c r="K5" s="77"/>
      <c r="L5" s="4"/>
    </row>
    <row r="6" spans="1:20" ht="18" x14ac:dyDescent="0.35">
      <c r="A6" s="75">
        <v>1</v>
      </c>
      <c r="B6" s="81" t="s">
        <v>40</v>
      </c>
      <c r="C6" s="30" t="s">
        <v>16</v>
      </c>
      <c r="D6" s="37">
        <v>547470</v>
      </c>
      <c r="E6" s="37"/>
      <c r="F6" s="37">
        <v>11173</v>
      </c>
      <c r="G6" s="37"/>
      <c r="H6" s="37"/>
      <c r="I6" s="37"/>
      <c r="J6" s="37"/>
      <c r="K6" s="37">
        <f>SUM(D6:J6)</f>
        <v>558643</v>
      </c>
      <c r="L6" s="12"/>
    </row>
    <row r="7" spans="1:20" ht="18" x14ac:dyDescent="0.35">
      <c r="A7" s="75"/>
      <c r="B7" s="81"/>
      <c r="C7" s="30" t="s">
        <v>41</v>
      </c>
      <c r="D7" s="37">
        <v>471242</v>
      </c>
      <c r="E7" s="37"/>
      <c r="F7" s="37">
        <v>83160</v>
      </c>
      <c r="G7" s="37"/>
      <c r="H7" s="37"/>
      <c r="I7" s="37"/>
      <c r="J7" s="37"/>
      <c r="K7" s="37">
        <f>SUM(D7:J7)</f>
        <v>554402</v>
      </c>
      <c r="L7" s="12"/>
    </row>
    <row r="8" spans="1:20" ht="18" x14ac:dyDescent="0.35">
      <c r="A8" s="75"/>
      <c r="B8" s="81"/>
      <c r="C8" s="30" t="s">
        <v>42</v>
      </c>
      <c r="D8" s="37">
        <v>453967</v>
      </c>
      <c r="E8" s="37"/>
      <c r="F8" s="37">
        <v>80112</v>
      </c>
      <c r="G8" s="37"/>
      <c r="H8" s="37"/>
      <c r="I8" s="37"/>
      <c r="J8" s="37"/>
      <c r="K8" s="37">
        <f>SUM(D8:J8)</f>
        <v>534079</v>
      </c>
      <c r="L8" s="12"/>
      <c r="T8" s="23"/>
    </row>
    <row r="9" spans="1:20" ht="18" x14ac:dyDescent="0.35">
      <c r="A9" s="75">
        <v>2</v>
      </c>
      <c r="B9" s="81" t="s">
        <v>43</v>
      </c>
      <c r="C9" s="30" t="s">
        <v>16</v>
      </c>
      <c r="D9" s="37"/>
      <c r="E9" s="37">
        <v>1636</v>
      </c>
      <c r="F9" s="37"/>
      <c r="G9" s="37"/>
      <c r="H9" s="37"/>
      <c r="I9" s="37"/>
      <c r="J9" s="37"/>
      <c r="K9" s="37">
        <f t="shared" ref="K9:K14" si="0">SUM(D9:J9)</f>
        <v>1636</v>
      </c>
    </row>
    <row r="10" spans="1:20" ht="18" x14ac:dyDescent="0.35">
      <c r="A10" s="75"/>
      <c r="B10" s="81"/>
      <c r="C10" s="30" t="s">
        <v>41</v>
      </c>
      <c r="D10" s="37"/>
      <c r="E10" s="37">
        <v>2154</v>
      </c>
      <c r="F10" s="37"/>
      <c r="G10" s="37"/>
      <c r="H10" s="37"/>
      <c r="I10" s="37"/>
      <c r="J10" s="37"/>
      <c r="K10" s="37">
        <f t="shared" si="0"/>
        <v>2154</v>
      </c>
    </row>
    <row r="11" spans="1:20" ht="18" x14ac:dyDescent="0.35">
      <c r="A11" s="75"/>
      <c r="B11" s="81"/>
      <c r="C11" s="30" t="s">
        <v>42</v>
      </c>
      <c r="D11" s="37"/>
      <c r="E11" s="37">
        <v>2169</v>
      </c>
      <c r="F11" s="37"/>
      <c r="G11" s="37"/>
      <c r="H11" s="37"/>
      <c r="I11" s="37"/>
      <c r="J11" s="37"/>
      <c r="K11" s="37">
        <f t="shared" si="0"/>
        <v>2169</v>
      </c>
    </row>
    <row r="12" spans="1:20" ht="18" x14ac:dyDescent="0.35">
      <c r="A12" s="75">
        <v>3</v>
      </c>
      <c r="B12" s="81" t="s">
        <v>44</v>
      </c>
      <c r="C12" s="30" t="s">
        <v>16</v>
      </c>
      <c r="D12" s="37"/>
      <c r="E12" s="37">
        <v>1101</v>
      </c>
      <c r="F12" s="37"/>
      <c r="G12" s="37">
        <v>26989</v>
      </c>
      <c r="H12" s="37">
        <v>0</v>
      </c>
      <c r="I12" s="37">
        <v>0</v>
      </c>
      <c r="J12" s="37">
        <v>1614</v>
      </c>
      <c r="K12" s="37">
        <f t="shared" si="0"/>
        <v>29704</v>
      </c>
    </row>
    <row r="13" spans="1:20" ht="18" x14ac:dyDescent="0.35">
      <c r="A13" s="75"/>
      <c r="B13" s="81"/>
      <c r="C13" s="30" t="s">
        <v>41</v>
      </c>
      <c r="D13" s="37"/>
      <c r="E13" s="37">
        <v>1213</v>
      </c>
      <c r="F13" s="37"/>
      <c r="G13" s="37">
        <v>45815</v>
      </c>
      <c r="H13" s="37">
        <v>0</v>
      </c>
      <c r="I13" s="37">
        <v>0</v>
      </c>
      <c r="J13" s="37">
        <v>1345</v>
      </c>
      <c r="K13" s="37">
        <f t="shared" si="0"/>
        <v>48373</v>
      </c>
    </row>
    <row r="14" spans="1:20" ht="18" x14ac:dyDescent="0.35">
      <c r="A14" s="75"/>
      <c r="B14" s="81"/>
      <c r="C14" s="30" t="s">
        <v>42</v>
      </c>
      <c r="D14" s="37"/>
      <c r="E14" s="37">
        <v>1359</v>
      </c>
      <c r="F14" s="37"/>
      <c r="G14" s="37">
        <v>31800</v>
      </c>
      <c r="H14" s="37">
        <v>0</v>
      </c>
      <c r="I14" s="37">
        <v>0</v>
      </c>
      <c r="J14" s="37">
        <v>1247</v>
      </c>
      <c r="K14" s="37">
        <f t="shared" si="0"/>
        <v>34406</v>
      </c>
    </row>
    <row r="15" spans="1:20" ht="18" x14ac:dyDescent="0.35">
      <c r="A15" s="75">
        <v>4</v>
      </c>
      <c r="B15" s="81" t="s">
        <v>45</v>
      </c>
      <c r="C15" s="30" t="s">
        <v>16</v>
      </c>
      <c r="D15" s="37"/>
      <c r="E15" s="37">
        <v>49</v>
      </c>
      <c r="F15" s="37"/>
      <c r="G15" s="37"/>
      <c r="H15" s="37"/>
      <c r="I15" s="37"/>
      <c r="J15" s="37"/>
      <c r="K15" s="37">
        <f>SUM(D15:J15)</f>
        <v>49</v>
      </c>
    </row>
    <row r="16" spans="1:20" ht="18" x14ac:dyDescent="0.35">
      <c r="A16" s="75"/>
      <c r="B16" s="81"/>
      <c r="C16" s="30" t="s">
        <v>41</v>
      </c>
      <c r="D16" s="37"/>
      <c r="E16" s="37">
        <v>87</v>
      </c>
      <c r="F16" s="37"/>
      <c r="G16" s="37"/>
      <c r="H16" s="37"/>
      <c r="I16" s="37"/>
      <c r="J16" s="37"/>
      <c r="K16" s="37">
        <f t="shared" ref="K16:K19" si="1">SUM(D16:J16)</f>
        <v>87</v>
      </c>
    </row>
    <row r="17" spans="1:11" ht="18" x14ac:dyDescent="0.35">
      <c r="A17" s="75"/>
      <c r="B17" s="81"/>
      <c r="C17" s="30" t="s">
        <v>42</v>
      </c>
      <c r="D17" s="37"/>
      <c r="E17" s="37">
        <v>150</v>
      </c>
      <c r="F17" s="37"/>
      <c r="G17" s="37"/>
      <c r="H17" s="37"/>
      <c r="I17" s="37"/>
      <c r="J17" s="37"/>
      <c r="K17" s="37">
        <f t="shared" si="1"/>
        <v>150</v>
      </c>
    </row>
    <row r="18" spans="1:11" ht="18" x14ac:dyDescent="0.35">
      <c r="A18" s="75">
        <v>5</v>
      </c>
      <c r="B18" s="81" t="s">
        <v>66</v>
      </c>
      <c r="C18" s="30" t="s">
        <v>16</v>
      </c>
      <c r="D18" s="37">
        <v>34367</v>
      </c>
      <c r="E18" s="37"/>
      <c r="F18" s="37"/>
      <c r="G18" s="37"/>
      <c r="H18" s="37"/>
      <c r="I18" s="37"/>
      <c r="J18" s="37"/>
      <c r="K18" s="37">
        <f t="shared" si="1"/>
        <v>34367</v>
      </c>
    </row>
    <row r="19" spans="1:11" ht="18" x14ac:dyDescent="0.35">
      <c r="A19" s="75"/>
      <c r="B19" s="81"/>
      <c r="C19" s="30" t="s">
        <v>41</v>
      </c>
      <c r="D19" s="37">
        <v>74826</v>
      </c>
      <c r="E19" s="37"/>
      <c r="F19" s="37"/>
      <c r="G19" s="37"/>
      <c r="H19" s="37"/>
      <c r="I19" s="37"/>
      <c r="J19" s="37"/>
      <c r="K19" s="37">
        <f t="shared" si="1"/>
        <v>74826</v>
      </c>
    </row>
    <row r="20" spans="1:11" ht="18" x14ac:dyDescent="0.35">
      <c r="A20" s="75"/>
      <c r="B20" s="81"/>
      <c r="C20" s="30" t="s">
        <v>42</v>
      </c>
      <c r="D20" s="37">
        <v>51711</v>
      </c>
      <c r="E20" s="37"/>
      <c r="F20" s="37"/>
      <c r="G20" s="37"/>
      <c r="H20" s="37"/>
      <c r="I20" s="37"/>
      <c r="J20" s="37"/>
      <c r="K20" s="37">
        <f>SUM(D20:J20)</f>
        <v>51711</v>
      </c>
    </row>
    <row r="21" spans="1:11" ht="24.75" customHeight="1" x14ac:dyDescent="0.25">
      <c r="A21" s="85" t="s">
        <v>76</v>
      </c>
      <c r="B21" s="85"/>
      <c r="C21" s="85"/>
      <c r="D21" s="85"/>
      <c r="E21" s="85"/>
      <c r="F21" s="85"/>
      <c r="G21" s="85"/>
      <c r="H21" s="85"/>
      <c r="I21" s="85"/>
      <c r="J21" s="85"/>
      <c r="K21" s="85"/>
    </row>
    <row r="22" spans="1:11" ht="15.75" x14ac:dyDescent="0.25">
      <c r="A22" s="11"/>
    </row>
  </sheetData>
  <mergeCells count="17">
    <mergeCell ref="A21:K21"/>
    <mergeCell ref="A12:A14"/>
    <mergeCell ref="B12:B14"/>
    <mergeCell ref="A15:A17"/>
    <mergeCell ref="B15:B17"/>
    <mergeCell ref="A18:A20"/>
    <mergeCell ref="B18:B20"/>
    <mergeCell ref="A6:A8"/>
    <mergeCell ref="B6:B8"/>
    <mergeCell ref="A9:A11"/>
    <mergeCell ref="B9:B11"/>
    <mergeCell ref="A1:K1"/>
    <mergeCell ref="A2:K2"/>
    <mergeCell ref="A3:K3"/>
    <mergeCell ref="A4:A5"/>
    <mergeCell ref="B4:J4"/>
    <mergeCell ref="K4:K5"/>
  </mergeCells>
  <conditionalFormatting sqref="C6:K20">
    <cfRule type="expression" dxfId="11" priority="1">
      <formula>MOD(ROW(),2)=0</formula>
    </cfRule>
  </conditionalFormatting>
  <printOptions horizontalCentered="1"/>
  <pageMargins left="0.19685039370078741" right="0.39370078740157483" top="0.59055118110236227" bottom="0.39370078740157483" header="0.31496062992125984" footer="0.31496062992125984"/>
  <pageSetup paperSize="9" orientation="landscape" r:id="rId1"/>
  <headerFooter>
    <oddFooter>&amp;CA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F24B5-C505-46F3-87E0-EA9DD894DE6A}">
  <sheetPr>
    <pageSetUpPr fitToPage="1"/>
  </sheetPr>
  <dimension ref="A1:T22"/>
  <sheetViews>
    <sheetView showZeros="0" view="pageBreakPreview" zoomScale="50" zoomScaleNormal="85" zoomScaleSheetLayoutView="50" workbookViewId="0">
      <selection sqref="A1:Q1"/>
    </sheetView>
  </sheetViews>
  <sheetFormatPr defaultRowHeight="15.75" x14ac:dyDescent="0.25"/>
  <cols>
    <col min="1" max="1" width="6" style="27" customWidth="1"/>
    <col min="2" max="2" width="15.5703125" style="23" customWidth="1"/>
    <col min="3" max="3" width="9.140625" style="23"/>
    <col min="4" max="4" width="11.85546875" style="23" customWidth="1"/>
    <col min="5" max="5" width="12.85546875" style="23" customWidth="1"/>
    <col min="6" max="6" width="13.85546875" style="23" customWidth="1"/>
    <col min="7" max="7" width="14.7109375" style="23" customWidth="1"/>
    <col min="8" max="8" width="9.28515625" style="23" bestFit="1" customWidth="1"/>
    <col min="9" max="9" width="13.5703125" style="23" customWidth="1"/>
    <col min="10" max="10" width="13.7109375" style="23" customWidth="1"/>
    <col min="11" max="11" width="16.7109375" style="23" customWidth="1"/>
    <col min="12" max="13" width="9.140625" style="23"/>
    <col min="14" max="14" width="14" style="23" customWidth="1"/>
    <col min="15" max="15" width="12.28515625" style="23" customWidth="1"/>
    <col min="16" max="16" width="9.7109375" style="23" customWidth="1"/>
    <col min="17" max="17" width="12.140625" style="23" customWidth="1"/>
    <col min="18" max="18" width="10.28515625" style="23" customWidth="1"/>
    <col min="19" max="16384" width="9.140625" style="23"/>
  </cols>
  <sheetData>
    <row r="1" spans="1:19" ht="18" x14ac:dyDescent="0.25">
      <c r="A1" s="108" t="s">
        <v>77</v>
      </c>
      <c r="B1" s="108"/>
      <c r="C1" s="108"/>
      <c r="D1" s="108"/>
      <c r="E1" s="108"/>
      <c r="F1" s="108"/>
      <c r="G1" s="108"/>
      <c r="H1" s="108"/>
      <c r="I1" s="108"/>
      <c r="J1" s="108"/>
      <c r="K1" s="108"/>
      <c r="L1" s="108"/>
      <c r="M1" s="108"/>
      <c r="N1" s="108"/>
      <c r="O1" s="108"/>
      <c r="P1" s="108"/>
      <c r="Q1" s="108"/>
    </row>
    <row r="2" spans="1:19" ht="18" x14ac:dyDescent="0.25">
      <c r="A2" s="73" t="s">
        <v>78</v>
      </c>
      <c r="B2" s="73"/>
      <c r="C2" s="73"/>
      <c r="D2" s="73"/>
      <c r="E2" s="73"/>
      <c r="F2" s="73"/>
      <c r="G2" s="73"/>
      <c r="H2" s="73"/>
      <c r="I2" s="73"/>
      <c r="J2" s="73"/>
      <c r="K2" s="73"/>
      <c r="L2" s="73"/>
      <c r="M2" s="73"/>
      <c r="N2" s="73"/>
      <c r="O2" s="73"/>
      <c r="P2" s="73"/>
      <c r="Q2" s="73"/>
    </row>
    <row r="3" spans="1:19" ht="24" customHeight="1" x14ac:dyDescent="0.25">
      <c r="A3" s="86" t="s">
        <v>46</v>
      </c>
      <c r="B3" s="86"/>
      <c r="C3" s="86"/>
      <c r="D3" s="86"/>
      <c r="E3" s="86"/>
      <c r="F3" s="86"/>
      <c r="G3" s="86"/>
      <c r="H3" s="86"/>
      <c r="I3" s="86"/>
      <c r="J3" s="86"/>
      <c r="K3" s="86"/>
      <c r="L3" s="86"/>
      <c r="M3" s="86"/>
      <c r="N3" s="86"/>
      <c r="O3" s="86"/>
      <c r="P3" s="86"/>
      <c r="Q3" s="86"/>
    </row>
    <row r="4" spans="1:19" ht="30" customHeight="1" x14ac:dyDescent="0.25">
      <c r="A4" s="75" t="s">
        <v>107</v>
      </c>
      <c r="B4" s="75" t="s">
        <v>47</v>
      </c>
      <c r="C4" s="75"/>
      <c r="D4" s="75"/>
      <c r="E4" s="75"/>
      <c r="F4" s="75"/>
      <c r="G4" s="75"/>
      <c r="H4" s="75"/>
      <c r="I4" s="75"/>
      <c r="J4" s="75"/>
      <c r="K4" s="75"/>
      <c r="L4" s="75"/>
      <c r="M4" s="75"/>
      <c r="N4" s="75"/>
      <c r="O4" s="75"/>
      <c r="P4" s="75"/>
      <c r="Q4" s="77" t="s">
        <v>24</v>
      </c>
    </row>
    <row r="5" spans="1:19" ht="45" customHeight="1" x14ac:dyDescent="0.25">
      <c r="A5" s="75"/>
      <c r="B5" s="75" t="s">
        <v>32</v>
      </c>
      <c r="C5" s="75" t="s">
        <v>33</v>
      </c>
      <c r="D5" s="75" t="s">
        <v>48</v>
      </c>
      <c r="E5" s="75"/>
      <c r="F5" s="75" t="s">
        <v>21</v>
      </c>
      <c r="G5" s="75" t="s">
        <v>22</v>
      </c>
      <c r="H5" s="75" t="s">
        <v>23</v>
      </c>
      <c r="I5" s="75" t="s">
        <v>49</v>
      </c>
      <c r="J5" s="75" t="s">
        <v>50</v>
      </c>
      <c r="K5" s="75" t="s">
        <v>51</v>
      </c>
      <c r="L5" s="75" t="s">
        <v>52</v>
      </c>
      <c r="M5" s="75" t="s">
        <v>53</v>
      </c>
      <c r="N5" s="75" t="s">
        <v>54</v>
      </c>
      <c r="O5" s="75" t="s">
        <v>67</v>
      </c>
      <c r="P5" s="75" t="s">
        <v>38</v>
      </c>
      <c r="Q5" s="77"/>
    </row>
    <row r="6" spans="1:19" ht="33" customHeight="1" x14ac:dyDescent="0.25">
      <c r="A6" s="75"/>
      <c r="B6" s="75"/>
      <c r="C6" s="75"/>
      <c r="D6" s="32" t="s">
        <v>56</v>
      </c>
      <c r="E6" s="32" t="s">
        <v>57</v>
      </c>
      <c r="F6" s="75"/>
      <c r="G6" s="75"/>
      <c r="H6" s="75"/>
      <c r="I6" s="75"/>
      <c r="J6" s="75"/>
      <c r="K6" s="75"/>
      <c r="L6" s="75"/>
      <c r="M6" s="75"/>
      <c r="N6" s="75"/>
      <c r="O6" s="75"/>
      <c r="P6" s="75"/>
      <c r="Q6" s="77"/>
    </row>
    <row r="7" spans="1:19" ht="26.25" customHeight="1" x14ac:dyDescent="0.35">
      <c r="A7" s="75">
        <v>1</v>
      </c>
      <c r="B7" s="81" t="s">
        <v>40</v>
      </c>
      <c r="C7" s="30" t="s">
        <v>16</v>
      </c>
      <c r="D7" s="37">
        <v>173936</v>
      </c>
      <c r="E7" s="37">
        <v>352645</v>
      </c>
      <c r="F7" s="37"/>
      <c r="G7" s="37"/>
      <c r="H7" s="37"/>
      <c r="I7" s="37">
        <v>1591</v>
      </c>
      <c r="J7" s="37">
        <v>2121</v>
      </c>
      <c r="K7" s="37"/>
      <c r="L7" s="37"/>
      <c r="M7" s="37"/>
      <c r="N7" s="40">
        <v>28350</v>
      </c>
      <c r="O7" s="37"/>
      <c r="P7" s="37"/>
      <c r="Q7" s="37">
        <f>SUM(D7:P7)</f>
        <v>558643</v>
      </c>
      <c r="S7" s="25"/>
    </row>
    <row r="8" spans="1:19" ht="25.5" customHeight="1" x14ac:dyDescent="0.35">
      <c r="A8" s="75"/>
      <c r="B8" s="81"/>
      <c r="C8" s="30" t="s">
        <v>41</v>
      </c>
      <c r="D8" s="37">
        <v>186040</v>
      </c>
      <c r="E8" s="37">
        <v>311135</v>
      </c>
      <c r="F8" s="37"/>
      <c r="G8" s="37"/>
      <c r="H8" s="37"/>
      <c r="I8" s="37">
        <v>32076</v>
      </c>
      <c r="J8" s="37">
        <v>5346</v>
      </c>
      <c r="K8" s="37"/>
      <c r="L8" s="37"/>
      <c r="M8" s="37"/>
      <c r="N8" s="40">
        <v>19805</v>
      </c>
      <c r="O8" s="37"/>
      <c r="P8" s="37"/>
      <c r="Q8" s="37">
        <f>SUM(D8:P8)</f>
        <v>554402</v>
      </c>
      <c r="S8" s="25"/>
    </row>
    <row r="9" spans="1:19" ht="24.75" customHeight="1" x14ac:dyDescent="0.35">
      <c r="A9" s="75"/>
      <c r="B9" s="81"/>
      <c r="C9" s="30" t="s">
        <v>42</v>
      </c>
      <c r="D9" s="37">
        <v>148464</v>
      </c>
      <c r="E9" s="37">
        <v>305322</v>
      </c>
      <c r="F9" s="37">
        <v>2098</v>
      </c>
      <c r="G9" s="37">
        <v>5246</v>
      </c>
      <c r="H9" s="37"/>
      <c r="I9" s="37">
        <v>54559</v>
      </c>
      <c r="J9" s="37">
        <v>4721</v>
      </c>
      <c r="K9" s="37">
        <v>4197</v>
      </c>
      <c r="L9" s="37"/>
      <c r="M9" s="37"/>
      <c r="N9" s="40">
        <v>9472</v>
      </c>
      <c r="O9" s="37"/>
      <c r="P9" s="37"/>
      <c r="Q9" s="37">
        <f>SUM(D9:P9)</f>
        <v>534079</v>
      </c>
      <c r="S9" s="25"/>
    </row>
    <row r="10" spans="1:19" ht="21.75" customHeight="1" x14ac:dyDescent="0.35">
      <c r="A10" s="75">
        <v>2</v>
      </c>
      <c r="B10" s="81" t="s">
        <v>43</v>
      </c>
      <c r="C10" s="30" t="s">
        <v>16</v>
      </c>
      <c r="D10" s="37"/>
      <c r="E10" s="37"/>
      <c r="F10" s="37">
        <v>1234</v>
      </c>
      <c r="G10" s="37">
        <v>328</v>
      </c>
      <c r="H10" s="37"/>
      <c r="I10" s="37"/>
      <c r="J10" s="37"/>
      <c r="K10" s="37"/>
      <c r="L10" s="37"/>
      <c r="M10" s="37"/>
      <c r="N10" s="37">
        <v>74</v>
      </c>
      <c r="O10" s="37"/>
      <c r="P10" s="37"/>
      <c r="Q10" s="37">
        <f t="shared" ref="Q10:Q21" si="0">SUM(D10:P10)</f>
        <v>1636</v>
      </c>
    </row>
    <row r="11" spans="1:19" ht="23.25" customHeight="1" x14ac:dyDescent="0.35">
      <c r="A11" s="75"/>
      <c r="B11" s="81"/>
      <c r="C11" s="30" t="s">
        <v>41</v>
      </c>
      <c r="D11" s="37"/>
      <c r="E11" s="37"/>
      <c r="F11" s="37">
        <v>1722</v>
      </c>
      <c r="G11" s="37">
        <v>430</v>
      </c>
      <c r="H11" s="37"/>
      <c r="I11" s="37"/>
      <c r="J11" s="37"/>
      <c r="K11" s="37"/>
      <c r="L11" s="37"/>
      <c r="M11" s="37"/>
      <c r="N11" s="37">
        <v>2</v>
      </c>
      <c r="O11" s="37"/>
      <c r="P11" s="37"/>
      <c r="Q11" s="37">
        <f t="shared" si="0"/>
        <v>2154</v>
      </c>
    </row>
    <row r="12" spans="1:19" ht="25.5" customHeight="1" x14ac:dyDescent="0.35">
      <c r="A12" s="75"/>
      <c r="B12" s="81"/>
      <c r="C12" s="30" t="s">
        <v>42</v>
      </c>
      <c r="D12" s="37"/>
      <c r="E12" s="37"/>
      <c r="F12" s="37">
        <v>1692</v>
      </c>
      <c r="G12" s="37">
        <v>477</v>
      </c>
      <c r="H12" s="37"/>
      <c r="I12" s="37"/>
      <c r="J12" s="37"/>
      <c r="K12" s="37"/>
      <c r="L12" s="37"/>
      <c r="M12" s="37"/>
      <c r="N12" s="37"/>
      <c r="O12" s="37"/>
      <c r="P12" s="37"/>
      <c r="Q12" s="37">
        <f t="shared" si="0"/>
        <v>2169</v>
      </c>
    </row>
    <row r="13" spans="1:19" ht="30" customHeight="1" x14ac:dyDescent="0.35">
      <c r="A13" s="75">
        <v>3</v>
      </c>
      <c r="B13" s="81" t="s">
        <v>44</v>
      </c>
      <c r="C13" s="30" t="s">
        <v>16</v>
      </c>
      <c r="D13" s="37">
        <v>0</v>
      </c>
      <c r="E13" s="37">
        <v>0</v>
      </c>
      <c r="F13" s="37">
        <v>16</v>
      </c>
      <c r="G13" s="37">
        <v>23816</v>
      </c>
      <c r="H13" s="37">
        <v>0</v>
      </c>
      <c r="I13" s="37">
        <v>0</v>
      </c>
      <c r="J13" s="37">
        <v>0</v>
      </c>
      <c r="K13" s="37">
        <v>0</v>
      </c>
      <c r="L13" s="37">
        <v>0</v>
      </c>
      <c r="M13" s="37">
        <v>4527</v>
      </c>
      <c r="N13" s="37">
        <v>0</v>
      </c>
      <c r="O13" s="37">
        <v>1345</v>
      </c>
      <c r="P13" s="37">
        <v>0</v>
      </c>
      <c r="Q13" s="37">
        <f>SUM(D13:P13)</f>
        <v>29704</v>
      </c>
    </row>
    <row r="14" spans="1:19" ht="24" customHeight="1" x14ac:dyDescent="0.35">
      <c r="A14" s="75"/>
      <c r="B14" s="81"/>
      <c r="C14" s="30" t="s">
        <v>41</v>
      </c>
      <c r="D14" s="37">
        <v>0</v>
      </c>
      <c r="E14" s="37">
        <v>0</v>
      </c>
      <c r="F14" s="37">
        <v>14</v>
      </c>
      <c r="G14" s="37">
        <v>45886</v>
      </c>
      <c r="H14" s="37">
        <v>0</v>
      </c>
      <c r="I14" s="37">
        <v>0</v>
      </c>
      <c r="J14" s="37">
        <v>0</v>
      </c>
      <c r="K14" s="37">
        <v>0</v>
      </c>
      <c r="L14" s="37">
        <v>0</v>
      </c>
      <c r="M14" s="37">
        <v>1226</v>
      </c>
      <c r="N14" s="37">
        <v>0</v>
      </c>
      <c r="O14" s="37">
        <v>1247</v>
      </c>
      <c r="P14" s="37">
        <v>0</v>
      </c>
      <c r="Q14" s="37">
        <f t="shared" ref="Q14:Q15" si="1">SUM(D14:P14)</f>
        <v>48373</v>
      </c>
    </row>
    <row r="15" spans="1:19" ht="24" customHeight="1" x14ac:dyDescent="0.35">
      <c r="A15" s="75"/>
      <c r="B15" s="81"/>
      <c r="C15" s="30" t="s">
        <v>42</v>
      </c>
      <c r="D15" s="37">
        <v>0</v>
      </c>
      <c r="E15" s="37">
        <v>0</v>
      </c>
      <c r="F15" s="37">
        <v>0</v>
      </c>
      <c r="G15" s="37">
        <v>32119</v>
      </c>
      <c r="H15" s="37">
        <v>0</v>
      </c>
      <c r="I15" s="37">
        <v>0</v>
      </c>
      <c r="J15" s="37">
        <v>0</v>
      </c>
      <c r="K15" s="37">
        <v>0</v>
      </c>
      <c r="L15" s="37">
        <v>0</v>
      </c>
      <c r="M15" s="37">
        <v>1016</v>
      </c>
      <c r="N15" s="37">
        <v>0</v>
      </c>
      <c r="O15" s="37">
        <v>1271</v>
      </c>
      <c r="P15" s="37">
        <v>0</v>
      </c>
      <c r="Q15" s="37">
        <f t="shared" si="1"/>
        <v>34406</v>
      </c>
    </row>
    <row r="16" spans="1:19" ht="30" customHeight="1" x14ac:dyDescent="0.35">
      <c r="A16" s="75">
        <v>4</v>
      </c>
      <c r="B16" s="81" t="s">
        <v>58</v>
      </c>
      <c r="C16" s="30" t="s">
        <v>16</v>
      </c>
      <c r="D16" s="37">
        <v>0</v>
      </c>
      <c r="E16" s="37">
        <v>0</v>
      </c>
      <c r="F16" s="37">
        <v>0</v>
      </c>
      <c r="G16" s="37">
        <v>49</v>
      </c>
      <c r="H16" s="37">
        <v>0</v>
      </c>
      <c r="I16" s="37">
        <v>0</v>
      </c>
      <c r="J16" s="37">
        <v>0</v>
      </c>
      <c r="K16" s="37">
        <v>0</v>
      </c>
      <c r="L16" s="37">
        <v>0</v>
      </c>
      <c r="M16" s="37">
        <v>0</v>
      </c>
      <c r="N16" s="37">
        <v>0</v>
      </c>
      <c r="O16" s="37">
        <v>0</v>
      </c>
      <c r="P16" s="37">
        <v>0</v>
      </c>
      <c r="Q16" s="37">
        <f t="shared" si="0"/>
        <v>49</v>
      </c>
    </row>
    <row r="17" spans="1:20" ht="24" customHeight="1" x14ac:dyDescent="0.35">
      <c r="A17" s="75"/>
      <c r="B17" s="81"/>
      <c r="C17" s="30" t="s">
        <v>41</v>
      </c>
      <c r="D17" s="37"/>
      <c r="E17" s="37"/>
      <c r="F17" s="37"/>
      <c r="G17" s="37">
        <v>87</v>
      </c>
      <c r="H17" s="37"/>
      <c r="I17" s="37"/>
      <c r="J17" s="37"/>
      <c r="K17" s="37"/>
      <c r="L17" s="37"/>
      <c r="M17" s="37"/>
      <c r="N17" s="37"/>
      <c r="O17" s="37"/>
      <c r="P17" s="37"/>
      <c r="Q17" s="37">
        <f t="shared" si="0"/>
        <v>87</v>
      </c>
    </row>
    <row r="18" spans="1:20" ht="25.5" customHeight="1" x14ac:dyDescent="0.35">
      <c r="A18" s="75"/>
      <c r="B18" s="81"/>
      <c r="C18" s="30" t="s">
        <v>42</v>
      </c>
      <c r="D18" s="37"/>
      <c r="E18" s="37"/>
      <c r="F18" s="37"/>
      <c r="G18" s="37">
        <v>150</v>
      </c>
      <c r="H18" s="37"/>
      <c r="I18" s="37"/>
      <c r="J18" s="37"/>
      <c r="K18" s="37"/>
      <c r="L18" s="37"/>
      <c r="M18" s="37"/>
      <c r="N18" s="37"/>
      <c r="O18" s="37"/>
      <c r="P18" s="37"/>
      <c r="Q18" s="37">
        <f t="shared" si="0"/>
        <v>150</v>
      </c>
    </row>
    <row r="19" spans="1:20" ht="23.25" customHeight="1" x14ac:dyDescent="0.35">
      <c r="A19" s="75">
        <v>5</v>
      </c>
      <c r="B19" s="81" t="s">
        <v>66</v>
      </c>
      <c r="C19" s="30" t="s">
        <v>16</v>
      </c>
      <c r="D19" s="37">
        <v>6873</v>
      </c>
      <c r="E19" s="37"/>
      <c r="F19" s="37"/>
      <c r="G19" s="37">
        <v>25776</v>
      </c>
      <c r="H19" s="37"/>
      <c r="I19" s="37"/>
      <c r="J19" s="37"/>
      <c r="K19" s="37"/>
      <c r="L19" s="37"/>
      <c r="M19" s="37"/>
      <c r="N19" s="37"/>
      <c r="O19" s="37"/>
      <c r="P19" s="37">
        <v>1718</v>
      </c>
      <c r="Q19" s="37">
        <f t="shared" si="0"/>
        <v>34367</v>
      </c>
      <c r="S19" s="26"/>
      <c r="T19" s="26"/>
    </row>
    <row r="20" spans="1:20" ht="24.75" customHeight="1" x14ac:dyDescent="0.35">
      <c r="A20" s="75"/>
      <c r="B20" s="81"/>
      <c r="C20" s="30" t="s">
        <v>41</v>
      </c>
      <c r="D20" s="37">
        <v>14965</v>
      </c>
      <c r="E20" s="37"/>
      <c r="F20" s="37"/>
      <c r="G20" s="37">
        <v>56120</v>
      </c>
      <c r="H20" s="37"/>
      <c r="I20" s="37"/>
      <c r="J20" s="37"/>
      <c r="K20" s="37"/>
      <c r="L20" s="37"/>
      <c r="M20" s="37"/>
      <c r="N20" s="37"/>
      <c r="O20" s="37"/>
      <c r="P20" s="37">
        <v>3741</v>
      </c>
      <c r="Q20" s="37">
        <f t="shared" si="0"/>
        <v>74826</v>
      </c>
    </row>
    <row r="21" spans="1:20" ht="24" customHeight="1" x14ac:dyDescent="0.35">
      <c r="A21" s="75"/>
      <c r="B21" s="81"/>
      <c r="C21" s="30" t="s">
        <v>42</v>
      </c>
      <c r="D21" s="37">
        <v>10342</v>
      </c>
      <c r="E21" s="37"/>
      <c r="F21" s="37"/>
      <c r="G21" s="37">
        <v>38783</v>
      </c>
      <c r="H21" s="37"/>
      <c r="I21" s="37"/>
      <c r="J21" s="37"/>
      <c r="K21" s="37"/>
      <c r="L21" s="37"/>
      <c r="M21" s="37"/>
      <c r="N21" s="37"/>
      <c r="O21" s="37"/>
      <c r="P21" s="37">
        <v>2586</v>
      </c>
      <c r="Q21" s="37">
        <f t="shared" si="0"/>
        <v>51711</v>
      </c>
    </row>
    <row r="22" spans="1:20" ht="17.25" x14ac:dyDescent="0.25">
      <c r="A22" s="85" t="s">
        <v>68</v>
      </c>
      <c r="B22" s="85"/>
      <c r="C22" s="85"/>
      <c r="D22" s="85"/>
      <c r="E22" s="85"/>
      <c r="F22" s="85"/>
      <c r="G22" s="85"/>
      <c r="H22" s="85"/>
      <c r="I22" s="85"/>
      <c r="J22" s="85"/>
      <c r="K22" s="85"/>
      <c r="L22" s="85"/>
      <c r="M22" s="85"/>
      <c r="N22" s="85"/>
      <c r="O22" s="85"/>
      <c r="P22" s="85"/>
      <c r="Q22" s="85"/>
    </row>
  </sheetData>
  <mergeCells count="31">
    <mergeCell ref="Q4:Q6"/>
    <mergeCell ref="C5:C6"/>
    <mergeCell ref="D5:E5"/>
    <mergeCell ref="F5:F6"/>
    <mergeCell ref="G5:G6"/>
    <mergeCell ref="H5:H6"/>
    <mergeCell ref="I5:I6"/>
    <mergeCell ref="M5:M6"/>
    <mergeCell ref="N5:N6"/>
    <mergeCell ref="O5:O6"/>
    <mergeCell ref="A13:A15"/>
    <mergeCell ref="B13:B15"/>
    <mergeCell ref="J5:J6"/>
    <mergeCell ref="K5:K6"/>
    <mergeCell ref="L5:L6"/>
    <mergeCell ref="A1:Q1"/>
    <mergeCell ref="A2:Q2"/>
    <mergeCell ref="A3:Q3"/>
    <mergeCell ref="B5:B6"/>
    <mergeCell ref="A22:Q22"/>
    <mergeCell ref="A16:A18"/>
    <mergeCell ref="B16:B18"/>
    <mergeCell ref="A19:A21"/>
    <mergeCell ref="B19:B21"/>
    <mergeCell ref="P5:P6"/>
    <mergeCell ref="A7:A9"/>
    <mergeCell ref="B7:B9"/>
    <mergeCell ref="A10:A12"/>
    <mergeCell ref="B10:B12"/>
    <mergeCell ref="A4:A6"/>
    <mergeCell ref="B4:P4"/>
  </mergeCells>
  <conditionalFormatting sqref="C7:Q21">
    <cfRule type="expression" dxfId="10" priority="1">
      <formula>MOD(ROW(),2)=0</formula>
    </cfRule>
  </conditionalFormatting>
  <printOptions horizontalCentered="1"/>
  <pageMargins left="0.19685039370078741" right="0.39370078740157483" top="0.59055118110236227" bottom="0.39370078740157483" header="0.31496062992125984" footer="0.31496062992125984"/>
  <pageSetup paperSize="9" scale="69" orientation="landscape" r:id="rId1"/>
  <headerFooter>
    <oddFooter>&amp;CA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2FDD0-D64A-4989-A98A-48CC6A1660F1}">
  <sheetPr>
    <pageSetUpPr fitToPage="1"/>
  </sheetPr>
  <dimension ref="A1:T21"/>
  <sheetViews>
    <sheetView view="pageBreakPreview" zoomScale="50" zoomScaleNormal="80" zoomScaleSheetLayoutView="50" workbookViewId="0">
      <selection sqref="A1:K1"/>
    </sheetView>
  </sheetViews>
  <sheetFormatPr defaultColWidth="9.140625" defaultRowHeight="16.5" x14ac:dyDescent="0.3"/>
  <cols>
    <col min="1" max="1" width="9.140625" style="3"/>
    <col min="2" max="2" width="15" style="2" customWidth="1"/>
    <col min="3" max="3" width="10.42578125" style="2" customWidth="1"/>
    <col min="4" max="4" width="15.42578125" style="2" customWidth="1"/>
    <col min="5" max="5" width="14" style="2" customWidth="1"/>
    <col min="6" max="6" width="13.85546875" style="2" customWidth="1"/>
    <col min="7" max="7" width="11" style="2" customWidth="1"/>
    <col min="8" max="8" width="17" style="2" customWidth="1"/>
    <col min="9" max="9" width="12.140625" style="2" bestFit="1" customWidth="1"/>
    <col min="10" max="10" width="15.42578125" style="2" customWidth="1"/>
    <col min="11" max="11" width="15.140625" style="2" customWidth="1"/>
    <col min="12" max="16384" width="9.140625" style="2"/>
  </cols>
  <sheetData>
    <row r="1" spans="1:20" ht="18" x14ac:dyDescent="0.3">
      <c r="A1" s="108" t="s">
        <v>79</v>
      </c>
      <c r="B1" s="108"/>
      <c r="C1" s="108"/>
      <c r="D1" s="108"/>
      <c r="E1" s="108"/>
      <c r="F1" s="108"/>
      <c r="G1" s="108"/>
      <c r="H1" s="108"/>
      <c r="I1" s="108"/>
      <c r="J1" s="108"/>
      <c r="K1" s="108"/>
    </row>
    <row r="2" spans="1:20" ht="18" x14ac:dyDescent="0.3">
      <c r="A2" s="87" t="s">
        <v>80</v>
      </c>
      <c r="B2" s="87"/>
      <c r="C2" s="87"/>
      <c r="D2" s="87"/>
      <c r="E2" s="87"/>
      <c r="F2" s="87"/>
      <c r="G2" s="87"/>
      <c r="H2" s="87"/>
      <c r="I2" s="87"/>
      <c r="J2" s="87"/>
      <c r="K2" s="87"/>
    </row>
    <row r="3" spans="1:20" ht="23.25" customHeight="1" x14ac:dyDescent="0.3">
      <c r="A3" s="74" t="s">
        <v>46</v>
      </c>
      <c r="B3" s="74"/>
      <c r="C3" s="74"/>
      <c r="D3" s="74"/>
      <c r="E3" s="74"/>
      <c r="F3" s="74"/>
      <c r="G3" s="74"/>
      <c r="H3" s="74"/>
      <c r="I3" s="74"/>
      <c r="J3" s="74"/>
      <c r="K3" s="74"/>
    </row>
    <row r="4" spans="1:20" ht="26.25" customHeight="1" x14ac:dyDescent="0.3">
      <c r="A4" s="77" t="s">
        <v>106</v>
      </c>
      <c r="B4" s="77" t="s">
        <v>31</v>
      </c>
      <c r="C4" s="77"/>
      <c r="D4" s="77"/>
      <c r="E4" s="77"/>
      <c r="F4" s="77"/>
      <c r="G4" s="77"/>
      <c r="H4" s="77"/>
      <c r="I4" s="77"/>
      <c r="J4" s="77"/>
      <c r="K4" s="77" t="s">
        <v>64</v>
      </c>
    </row>
    <row r="5" spans="1:20" ht="62.25" customHeight="1" x14ac:dyDescent="0.35">
      <c r="A5" s="77"/>
      <c r="B5" s="29" t="s">
        <v>32</v>
      </c>
      <c r="C5" s="29" t="s">
        <v>33</v>
      </c>
      <c r="D5" s="29" t="s">
        <v>34</v>
      </c>
      <c r="E5" s="29" t="s">
        <v>35</v>
      </c>
      <c r="F5" s="29" t="s">
        <v>60</v>
      </c>
      <c r="G5" s="29" t="s">
        <v>36</v>
      </c>
      <c r="H5" s="29" t="s">
        <v>37</v>
      </c>
      <c r="I5" s="29" t="s">
        <v>38</v>
      </c>
      <c r="J5" s="41" t="s">
        <v>73</v>
      </c>
      <c r="K5" s="77"/>
    </row>
    <row r="6" spans="1:20" ht="23.25" customHeight="1" x14ac:dyDescent="0.35">
      <c r="A6" s="75">
        <v>1</v>
      </c>
      <c r="B6" s="81" t="s">
        <v>40</v>
      </c>
      <c r="C6" s="30" t="s">
        <v>16</v>
      </c>
      <c r="D6" s="37">
        <v>6527446</v>
      </c>
      <c r="E6" s="37"/>
      <c r="F6" s="37">
        <v>2175815</v>
      </c>
      <c r="G6" s="37"/>
      <c r="H6" s="37"/>
      <c r="I6" s="37"/>
      <c r="J6" s="37"/>
      <c r="K6" s="37">
        <f>SUM(D6:J6)</f>
        <v>8703261</v>
      </c>
    </row>
    <row r="7" spans="1:20" ht="23.25" customHeight="1" x14ac:dyDescent="0.35">
      <c r="A7" s="75"/>
      <c r="B7" s="81"/>
      <c r="C7" s="30" t="s">
        <v>41</v>
      </c>
      <c r="D7" s="37">
        <v>6281264</v>
      </c>
      <c r="E7" s="37"/>
      <c r="F7" s="37">
        <v>2093755</v>
      </c>
      <c r="G7" s="37"/>
      <c r="H7" s="37"/>
      <c r="I7" s="37"/>
      <c r="J7" s="37"/>
      <c r="K7" s="37">
        <f t="shared" ref="K7:K20" si="0">SUM(D7:J7)</f>
        <v>8375019</v>
      </c>
    </row>
    <row r="8" spans="1:20" ht="20.25" customHeight="1" x14ac:dyDescent="0.35">
      <c r="A8" s="75"/>
      <c r="B8" s="81"/>
      <c r="C8" s="30" t="s">
        <v>42</v>
      </c>
      <c r="D8" s="37">
        <v>6195704</v>
      </c>
      <c r="E8" s="37"/>
      <c r="F8" s="37">
        <v>2065235</v>
      </c>
      <c r="G8" s="37"/>
      <c r="H8" s="37"/>
      <c r="I8" s="37"/>
      <c r="J8" s="37"/>
      <c r="K8" s="37">
        <f t="shared" si="0"/>
        <v>8260939</v>
      </c>
      <c r="T8" s="23"/>
    </row>
    <row r="9" spans="1:20" ht="23.25" customHeight="1" x14ac:dyDescent="0.35">
      <c r="A9" s="75">
        <v>2</v>
      </c>
      <c r="B9" s="81" t="s">
        <v>43</v>
      </c>
      <c r="C9" s="30" t="s">
        <v>16</v>
      </c>
      <c r="D9" s="37"/>
      <c r="E9" s="37">
        <v>22783</v>
      </c>
      <c r="F9" s="37"/>
      <c r="G9" s="37"/>
      <c r="H9" s="37"/>
      <c r="I9" s="37"/>
      <c r="J9" s="37"/>
      <c r="K9" s="37">
        <f t="shared" si="0"/>
        <v>22783</v>
      </c>
    </row>
    <row r="10" spans="1:20" ht="22.5" customHeight="1" x14ac:dyDescent="0.35">
      <c r="A10" s="75"/>
      <c r="B10" s="81"/>
      <c r="C10" s="30" t="s">
        <v>41</v>
      </c>
      <c r="D10" s="37"/>
      <c r="E10" s="37">
        <v>22723</v>
      </c>
      <c r="F10" s="37"/>
      <c r="G10" s="37"/>
      <c r="H10" s="37"/>
      <c r="I10" s="37"/>
      <c r="J10" s="37"/>
      <c r="K10" s="37">
        <f t="shared" si="0"/>
        <v>22723</v>
      </c>
    </row>
    <row r="11" spans="1:20" ht="22.5" customHeight="1" x14ac:dyDescent="0.35">
      <c r="A11" s="75"/>
      <c r="B11" s="81"/>
      <c r="C11" s="30" t="s">
        <v>42</v>
      </c>
      <c r="D11" s="37"/>
      <c r="E11" s="37">
        <v>29983</v>
      </c>
      <c r="F11" s="37"/>
      <c r="G11" s="37"/>
      <c r="H11" s="37"/>
      <c r="I11" s="37"/>
      <c r="J11" s="37"/>
      <c r="K11" s="37">
        <f t="shared" si="0"/>
        <v>29983</v>
      </c>
    </row>
    <row r="12" spans="1:20" ht="24" customHeight="1" x14ac:dyDescent="0.35">
      <c r="A12" s="75">
        <v>3</v>
      </c>
      <c r="B12" s="81" t="s">
        <v>44</v>
      </c>
      <c r="C12" s="30" t="s">
        <v>16</v>
      </c>
      <c r="D12" s="37"/>
      <c r="E12" s="37">
        <v>1102879</v>
      </c>
      <c r="F12" s="37"/>
      <c r="G12" s="40">
        <v>9035</v>
      </c>
      <c r="H12" s="37"/>
      <c r="I12" s="37"/>
      <c r="J12" s="37">
        <v>15993</v>
      </c>
      <c r="K12" s="37">
        <f t="shared" si="0"/>
        <v>1127907</v>
      </c>
    </row>
    <row r="13" spans="1:20" ht="21" customHeight="1" x14ac:dyDescent="0.35">
      <c r="A13" s="75"/>
      <c r="B13" s="81"/>
      <c r="C13" s="30" t="s">
        <v>41</v>
      </c>
      <c r="D13" s="37"/>
      <c r="E13" s="37">
        <v>999566</v>
      </c>
      <c r="F13" s="37"/>
      <c r="G13" s="37">
        <v>38756</v>
      </c>
      <c r="H13" s="37"/>
      <c r="I13" s="37"/>
      <c r="J13" s="37">
        <v>73376</v>
      </c>
      <c r="K13" s="37">
        <f t="shared" si="0"/>
        <v>1111698</v>
      </c>
    </row>
    <row r="14" spans="1:20" ht="21" customHeight="1" x14ac:dyDescent="0.35">
      <c r="A14" s="75"/>
      <c r="B14" s="81"/>
      <c r="C14" s="30" t="s">
        <v>42</v>
      </c>
      <c r="D14" s="37"/>
      <c r="E14" s="37">
        <v>771321</v>
      </c>
      <c r="F14" s="37"/>
      <c r="G14" s="37">
        <v>49258</v>
      </c>
      <c r="H14" s="37"/>
      <c r="I14" s="37"/>
      <c r="J14" s="37">
        <v>16909</v>
      </c>
      <c r="K14" s="37">
        <f t="shared" si="0"/>
        <v>837488</v>
      </c>
    </row>
    <row r="15" spans="1:20" ht="24.75" customHeight="1" x14ac:dyDescent="0.35">
      <c r="A15" s="75">
        <v>4</v>
      </c>
      <c r="B15" s="81" t="s">
        <v>45</v>
      </c>
      <c r="C15" s="30" t="s">
        <v>16</v>
      </c>
      <c r="D15" s="37"/>
      <c r="E15" s="37">
        <v>9475</v>
      </c>
      <c r="F15" s="37"/>
      <c r="G15" s="37"/>
      <c r="H15" s="37"/>
      <c r="I15" s="37"/>
      <c r="J15" s="37"/>
      <c r="K15" s="37">
        <f t="shared" si="0"/>
        <v>9475</v>
      </c>
    </row>
    <row r="16" spans="1:20" ht="21" customHeight="1" x14ac:dyDescent="0.35">
      <c r="A16" s="75"/>
      <c r="B16" s="81"/>
      <c r="C16" s="30" t="s">
        <v>41</v>
      </c>
      <c r="D16" s="37"/>
      <c r="E16" s="37">
        <v>2109</v>
      </c>
      <c r="F16" s="37"/>
      <c r="G16" s="37"/>
      <c r="H16" s="37"/>
      <c r="I16" s="37"/>
      <c r="J16" s="37"/>
      <c r="K16" s="37">
        <f t="shared" si="0"/>
        <v>2109</v>
      </c>
    </row>
    <row r="17" spans="1:11" ht="22.5" customHeight="1" x14ac:dyDescent="0.35">
      <c r="A17" s="75"/>
      <c r="B17" s="81"/>
      <c r="C17" s="30" t="s">
        <v>42</v>
      </c>
      <c r="D17" s="37"/>
      <c r="E17" s="37">
        <v>14546</v>
      </c>
      <c r="F17" s="37"/>
      <c r="G17" s="37"/>
      <c r="H17" s="37"/>
      <c r="I17" s="37"/>
      <c r="J17" s="37"/>
      <c r="K17" s="37">
        <f t="shared" si="0"/>
        <v>14546</v>
      </c>
    </row>
    <row r="18" spans="1:11" ht="27" customHeight="1" x14ac:dyDescent="0.35">
      <c r="A18" s="75">
        <v>5</v>
      </c>
      <c r="B18" s="81" t="s">
        <v>66</v>
      </c>
      <c r="C18" s="30" t="s">
        <v>16</v>
      </c>
      <c r="D18" s="37"/>
      <c r="E18" s="37">
        <v>409630</v>
      </c>
      <c r="F18" s="37"/>
      <c r="G18" s="37"/>
      <c r="H18" s="37"/>
      <c r="I18" s="37"/>
      <c r="J18" s="37"/>
      <c r="K18" s="37">
        <f t="shared" si="0"/>
        <v>409630</v>
      </c>
    </row>
    <row r="19" spans="1:11" ht="23.25" customHeight="1" x14ac:dyDescent="0.35">
      <c r="A19" s="75"/>
      <c r="B19" s="81"/>
      <c r="C19" s="30" t="s">
        <v>41</v>
      </c>
      <c r="D19" s="37"/>
      <c r="E19" s="37">
        <v>443724</v>
      </c>
      <c r="F19" s="37"/>
      <c r="G19" s="37"/>
      <c r="H19" s="37"/>
      <c r="I19" s="37"/>
      <c r="J19" s="37"/>
      <c r="K19" s="37">
        <f t="shared" si="0"/>
        <v>443724</v>
      </c>
    </row>
    <row r="20" spans="1:11" ht="24" customHeight="1" x14ac:dyDescent="0.35">
      <c r="A20" s="75"/>
      <c r="B20" s="81"/>
      <c r="C20" s="30" t="s">
        <v>42</v>
      </c>
      <c r="D20" s="37"/>
      <c r="E20" s="37">
        <v>311254</v>
      </c>
      <c r="F20" s="37"/>
      <c r="G20" s="37"/>
      <c r="H20" s="37"/>
      <c r="I20" s="37"/>
      <c r="J20" s="37"/>
      <c r="K20" s="37">
        <f t="shared" si="0"/>
        <v>311254</v>
      </c>
    </row>
    <row r="21" spans="1:11" ht="19.5" x14ac:dyDescent="0.3">
      <c r="A21" s="88" t="s">
        <v>81</v>
      </c>
      <c r="B21" s="88"/>
      <c r="C21" s="88"/>
      <c r="D21" s="88"/>
      <c r="E21" s="88"/>
      <c r="F21" s="88"/>
      <c r="G21" s="88"/>
      <c r="H21" s="88"/>
      <c r="I21" s="88"/>
      <c r="J21" s="88"/>
      <c r="K21" s="88"/>
    </row>
  </sheetData>
  <mergeCells count="17">
    <mergeCell ref="A21:K21"/>
    <mergeCell ref="A12:A14"/>
    <mergeCell ref="B12:B14"/>
    <mergeCell ref="A15:A17"/>
    <mergeCell ref="B15:B17"/>
    <mergeCell ref="A18:A20"/>
    <mergeCell ref="B18:B20"/>
    <mergeCell ref="A6:A8"/>
    <mergeCell ref="B6:B8"/>
    <mergeCell ref="A9:A11"/>
    <mergeCell ref="B9:B11"/>
    <mergeCell ref="A1:K1"/>
    <mergeCell ref="A3:K3"/>
    <mergeCell ref="A2:K2"/>
    <mergeCell ref="A4:A5"/>
    <mergeCell ref="B4:J4"/>
    <mergeCell ref="K4:K5"/>
  </mergeCells>
  <conditionalFormatting sqref="C6:K20">
    <cfRule type="expression" dxfId="9" priority="1">
      <formula>MOD(ROW(),2)=0</formula>
    </cfRule>
  </conditionalFormatting>
  <printOptions horizontalCentered="1"/>
  <pageMargins left="0.19685039370078741" right="0.39370078740157483" top="0.59055118110236227" bottom="0.39370078740157483" header="0.31496062992125984" footer="0.31496062992125984"/>
  <pageSetup paperSize="9" scale="95" orientation="landscape" r:id="rId1"/>
  <headerFooter>
    <oddFooter>&amp;CA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7B3FF-D7DA-401F-A1F0-9DEFAF6FFAA2}">
  <sheetPr>
    <pageSetUpPr fitToPage="1"/>
  </sheetPr>
  <dimension ref="A1:T22"/>
  <sheetViews>
    <sheetView zoomScale="85" zoomScaleNormal="85" zoomScaleSheetLayoutView="50" workbookViewId="0">
      <selection activeCell="J5" sqref="J5:J6"/>
    </sheetView>
  </sheetViews>
  <sheetFormatPr defaultColWidth="9.140625" defaultRowHeight="16.5" x14ac:dyDescent="0.3"/>
  <cols>
    <col min="1" max="1" width="6" style="3" customWidth="1"/>
    <col min="2" max="2" width="15.5703125" style="2" customWidth="1"/>
    <col min="3" max="3" width="10.5703125" style="2" customWidth="1"/>
    <col min="4" max="4" width="12.7109375" style="2" customWidth="1"/>
    <col min="5" max="5" width="15.28515625" style="2" customWidth="1"/>
    <col min="6" max="6" width="16.140625" style="2" customWidth="1"/>
    <col min="7" max="7" width="12.85546875" style="2" customWidth="1"/>
    <col min="8" max="8" width="11.140625" style="2" customWidth="1"/>
    <col min="9" max="9" width="15.42578125" style="2" customWidth="1"/>
    <col min="10" max="10" width="13.28515625" style="2" customWidth="1"/>
    <col min="11" max="11" width="14" style="2" customWidth="1"/>
    <col min="12" max="12" width="12.85546875" style="2" customWidth="1"/>
    <col min="13" max="13" width="11.7109375" style="2" bestFit="1" customWidth="1"/>
    <col min="14" max="14" width="16.28515625" style="2" customWidth="1"/>
    <col min="15" max="15" width="12.28515625" style="2" customWidth="1"/>
    <col min="16" max="16" width="11.7109375" style="2" customWidth="1"/>
    <col min="17" max="17" width="13.7109375" style="2" customWidth="1"/>
    <col min="18" max="16384" width="9.140625" style="2"/>
  </cols>
  <sheetData>
    <row r="1" spans="1:20" ht="18" x14ac:dyDescent="0.3">
      <c r="A1" s="107" t="s">
        <v>82</v>
      </c>
      <c r="B1" s="107"/>
      <c r="C1" s="107"/>
      <c r="D1" s="107"/>
      <c r="E1" s="107"/>
      <c r="F1" s="107"/>
      <c r="G1" s="107"/>
      <c r="H1" s="107"/>
      <c r="I1" s="107"/>
      <c r="J1" s="107"/>
      <c r="K1" s="107"/>
      <c r="L1" s="107"/>
      <c r="M1" s="107"/>
      <c r="N1" s="107"/>
      <c r="O1" s="107"/>
      <c r="P1" s="107"/>
      <c r="Q1" s="107"/>
    </row>
    <row r="2" spans="1:20" ht="18" x14ac:dyDescent="0.35">
      <c r="A2" s="91" t="s">
        <v>83</v>
      </c>
      <c r="B2" s="91"/>
      <c r="C2" s="91"/>
      <c r="D2" s="91"/>
      <c r="E2" s="91"/>
      <c r="F2" s="91"/>
      <c r="G2" s="91"/>
      <c r="H2" s="91"/>
      <c r="I2" s="91"/>
      <c r="J2" s="91"/>
      <c r="K2" s="91"/>
      <c r="L2" s="91"/>
      <c r="M2" s="91"/>
      <c r="N2" s="91"/>
      <c r="O2" s="91"/>
      <c r="P2" s="91"/>
      <c r="Q2" s="91"/>
    </row>
    <row r="3" spans="1:20" ht="18" x14ac:dyDescent="0.3">
      <c r="A3" s="74" t="s">
        <v>46</v>
      </c>
      <c r="B3" s="74"/>
      <c r="C3" s="74"/>
      <c r="D3" s="74"/>
      <c r="E3" s="74"/>
      <c r="F3" s="74"/>
      <c r="G3" s="74"/>
      <c r="H3" s="74"/>
      <c r="I3" s="74"/>
      <c r="J3" s="74"/>
      <c r="K3" s="74"/>
      <c r="L3" s="74"/>
      <c r="M3" s="74"/>
      <c r="N3" s="74"/>
      <c r="O3" s="74"/>
      <c r="P3" s="74"/>
      <c r="Q3" s="74"/>
    </row>
    <row r="4" spans="1:20" ht="30.75" customHeight="1" x14ac:dyDescent="0.3">
      <c r="A4" s="75" t="s">
        <v>107</v>
      </c>
      <c r="B4" s="75" t="s">
        <v>47</v>
      </c>
      <c r="C4" s="75"/>
      <c r="D4" s="75"/>
      <c r="E4" s="75"/>
      <c r="F4" s="75"/>
      <c r="G4" s="75"/>
      <c r="H4" s="75"/>
      <c r="I4" s="75"/>
      <c r="J4" s="75"/>
      <c r="K4" s="75"/>
      <c r="L4" s="75"/>
      <c r="M4" s="75"/>
      <c r="N4" s="75"/>
      <c r="O4" s="75"/>
      <c r="P4" s="75"/>
      <c r="Q4" s="77" t="s">
        <v>24</v>
      </c>
    </row>
    <row r="5" spans="1:20" ht="45" customHeight="1" x14ac:dyDescent="0.3">
      <c r="A5" s="75"/>
      <c r="B5" s="75" t="s">
        <v>32</v>
      </c>
      <c r="C5" s="75" t="s">
        <v>33</v>
      </c>
      <c r="D5" s="75" t="s">
        <v>48</v>
      </c>
      <c r="E5" s="75"/>
      <c r="F5" s="75" t="s">
        <v>21</v>
      </c>
      <c r="G5" s="75" t="s">
        <v>22</v>
      </c>
      <c r="H5" s="75" t="s">
        <v>23</v>
      </c>
      <c r="I5" s="75" t="s">
        <v>49</v>
      </c>
      <c r="J5" s="75" t="s">
        <v>50</v>
      </c>
      <c r="K5" s="75" t="s">
        <v>51</v>
      </c>
      <c r="L5" s="75" t="s">
        <v>52</v>
      </c>
      <c r="M5" s="75" t="s">
        <v>53</v>
      </c>
      <c r="N5" s="75" t="s">
        <v>54</v>
      </c>
      <c r="O5" s="75" t="s">
        <v>67</v>
      </c>
      <c r="P5" s="75" t="s">
        <v>38</v>
      </c>
      <c r="Q5" s="77"/>
    </row>
    <row r="6" spans="1:20" ht="45.75" customHeight="1" x14ac:dyDescent="0.3">
      <c r="A6" s="75"/>
      <c r="B6" s="75"/>
      <c r="C6" s="75"/>
      <c r="D6" s="32" t="s">
        <v>56</v>
      </c>
      <c r="E6" s="32" t="s">
        <v>57</v>
      </c>
      <c r="F6" s="75"/>
      <c r="G6" s="75"/>
      <c r="H6" s="75"/>
      <c r="I6" s="75"/>
      <c r="J6" s="75"/>
      <c r="K6" s="75"/>
      <c r="L6" s="75"/>
      <c r="M6" s="75"/>
      <c r="N6" s="75"/>
      <c r="O6" s="75"/>
      <c r="P6" s="75"/>
      <c r="Q6" s="77"/>
    </row>
    <row r="7" spans="1:20" ht="25.5" customHeight="1" x14ac:dyDescent="0.35">
      <c r="A7" s="75">
        <v>1</v>
      </c>
      <c r="B7" s="81" t="s">
        <v>40</v>
      </c>
      <c r="C7" s="30" t="s">
        <v>16</v>
      </c>
      <c r="D7" s="37"/>
      <c r="E7" s="37">
        <v>4034115</v>
      </c>
      <c r="F7" s="37"/>
      <c r="G7" s="37"/>
      <c r="H7" s="37"/>
      <c r="I7" s="90">
        <v>4607515</v>
      </c>
      <c r="J7" s="90"/>
      <c r="K7" s="90"/>
      <c r="L7" s="90"/>
      <c r="M7" s="37"/>
      <c r="N7" s="37">
        <v>61631</v>
      </c>
      <c r="O7" s="37"/>
      <c r="P7" s="37"/>
      <c r="Q7" s="37">
        <f>SUM(D7:P7)</f>
        <v>8703261</v>
      </c>
      <c r="R7" s="19"/>
    </row>
    <row r="8" spans="1:20" ht="27.75" customHeight="1" x14ac:dyDescent="0.35">
      <c r="A8" s="75"/>
      <c r="B8" s="81"/>
      <c r="C8" s="30" t="s">
        <v>41</v>
      </c>
      <c r="D8" s="37"/>
      <c r="E8" s="37">
        <v>2425720</v>
      </c>
      <c r="F8" s="37"/>
      <c r="G8" s="37"/>
      <c r="H8" s="37"/>
      <c r="I8" s="90">
        <v>5853600</v>
      </c>
      <c r="J8" s="90"/>
      <c r="K8" s="90"/>
      <c r="L8" s="90"/>
      <c r="M8" s="37"/>
      <c r="N8" s="37">
        <v>95699</v>
      </c>
      <c r="O8" s="37"/>
      <c r="P8" s="37"/>
      <c r="Q8" s="37">
        <f>SUM(D8:P8)</f>
        <v>8375019</v>
      </c>
      <c r="R8" s="19"/>
      <c r="T8" s="23"/>
    </row>
    <row r="9" spans="1:20" ht="24" customHeight="1" x14ac:dyDescent="0.35">
      <c r="A9" s="75"/>
      <c r="B9" s="81"/>
      <c r="C9" s="30" t="s">
        <v>42</v>
      </c>
      <c r="D9" s="37">
        <v>494706</v>
      </c>
      <c r="E9" s="37">
        <v>2253123</v>
      </c>
      <c r="F9" s="37"/>
      <c r="G9" s="37"/>
      <c r="H9" s="37"/>
      <c r="I9" s="90">
        <v>5495477</v>
      </c>
      <c r="J9" s="90"/>
      <c r="K9" s="90"/>
      <c r="L9" s="90"/>
      <c r="M9" s="37"/>
      <c r="N9" s="37">
        <v>17633</v>
      </c>
      <c r="O9" s="37"/>
      <c r="P9" s="37"/>
      <c r="Q9" s="37">
        <f>SUM(D9:P9)</f>
        <v>8260939</v>
      </c>
      <c r="R9" s="19"/>
    </row>
    <row r="10" spans="1:20" ht="24.75" customHeight="1" x14ac:dyDescent="0.35">
      <c r="A10" s="75">
        <v>2</v>
      </c>
      <c r="B10" s="81" t="s">
        <v>43</v>
      </c>
      <c r="C10" s="30" t="s">
        <v>16</v>
      </c>
      <c r="D10" s="37"/>
      <c r="E10" s="37"/>
      <c r="F10" s="37">
        <v>13192</v>
      </c>
      <c r="G10" s="40"/>
      <c r="H10" s="37">
        <v>6368</v>
      </c>
      <c r="I10" s="37"/>
      <c r="J10" s="37"/>
      <c r="K10" s="37"/>
      <c r="L10" s="37"/>
      <c r="M10" s="37"/>
      <c r="N10" s="42">
        <v>38</v>
      </c>
      <c r="O10" s="37"/>
      <c r="P10" s="37">
        <v>3185</v>
      </c>
      <c r="Q10" s="37">
        <f>SUM(D10:P10)</f>
        <v>22783</v>
      </c>
      <c r="R10" s="19"/>
    </row>
    <row r="11" spans="1:20" ht="21" customHeight="1" x14ac:dyDescent="0.35">
      <c r="A11" s="75"/>
      <c r="B11" s="81"/>
      <c r="C11" s="30" t="s">
        <v>41</v>
      </c>
      <c r="D11" s="37"/>
      <c r="E11" s="37"/>
      <c r="F11" s="37">
        <v>15678</v>
      </c>
      <c r="G11" s="40"/>
      <c r="H11" s="37">
        <v>3636</v>
      </c>
      <c r="I11" s="37"/>
      <c r="J11" s="37"/>
      <c r="K11" s="37"/>
      <c r="L11" s="37"/>
      <c r="M11" s="37"/>
      <c r="N11" s="42">
        <v>1</v>
      </c>
      <c r="O11" s="37"/>
      <c r="P11" s="37">
        <v>3408</v>
      </c>
      <c r="Q11" s="37">
        <f t="shared" ref="Q11:Q21" si="0">SUM(D11:P11)</f>
        <v>22723</v>
      </c>
      <c r="R11" s="19"/>
    </row>
    <row r="12" spans="1:20" ht="23.25" customHeight="1" x14ac:dyDescent="0.35">
      <c r="A12" s="75"/>
      <c r="B12" s="81"/>
      <c r="C12" s="30" t="s">
        <v>42</v>
      </c>
      <c r="D12" s="37"/>
      <c r="E12" s="37"/>
      <c r="F12" s="37">
        <v>18882</v>
      </c>
      <c r="G12" s="40"/>
      <c r="H12" s="37">
        <v>6594</v>
      </c>
      <c r="I12" s="37"/>
      <c r="J12" s="37"/>
      <c r="K12" s="37"/>
      <c r="L12" s="37"/>
      <c r="M12" s="37"/>
      <c r="N12" s="42">
        <v>13</v>
      </c>
      <c r="O12" s="37"/>
      <c r="P12" s="37">
        <v>4494</v>
      </c>
      <c r="Q12" s="37">
        <f t="shared" si="0"/>
        <v>29983</v>
      </c>
      <c r="R12" s="19"/>
    </row>
    <row r="13" spans="1:20" ht="21.75" customHeight="1" x14ac:dyDescent="0.35">
      <c r="A13" s="75">
        <v>3</v>
      </c>
      <c r="B13" s="81" t="s">
        <v>44</v>
      </c>
      <c r="C13" s="30" t="s">
        <v>16</v>
      </c>
      <c r="D13" s="37">
        <v>424778</v>
      </c>
      <c r="E13" s="37"/>
      <c r="F13" s="37">
        <v>48937</v>
      </c>
      <c r="G13" s="37">
        <v>110443</v>
      </c>
      <c r="H13" s="37">
        <f>470283-L13</f>
        <v>470283</v>
      </c>
      <c r="I13" s="37"/>
      <c r="J13" s="37"/>
      <c r="K13" s="37"/>
      <c r="L13" s="37"/>
      <c r="M13" s="37">
        <v>90</v>
      </c>
      <c r="N13" s="37"/>
      <c r="O13" s="37">
        <v>73376</v>
      </c>
      <c r="P13" s="37"/>
      <c r="Q13" s="37">
        <f>SUM(D13:P13)</f>
        <v>1127907</v>
      </c>
      <c r="R13" s="19"/>
    </row>
    <row r="14" spans="1:20" ht="21" customHeight="1" x14ac:dyDescent="0.35">
      <c r="A14" s="75"/>
      <c r="B14" s="81"/>
      <c r="C14" s="30" t="s">
        <v>41</v>
      </c>
      <c r="D14" s="37">
        <v>300769</v>
      </c>
      <c r="E14" s="37"/>
      <c r="F14" s="37">
        <v>52924</v>
      </c>
      <c r="G14" s="37">
        <v>170218</v>
      </c>
      <c r="H14" s="37">
        <f>539130-L14</f>
        <v>533243</v>
      </c>
      <c r="I14" s="37"/>
      <c r="J14" s="37"/>
      <c r="K14" s="37"/>
      <c r="L14" s="37">
        <v>5887</v>
      </c>
      <c r="M14" s="37">
        <v>31748</v>
      </c>
      <c r="N14" s="37"/>
      <c r="O14" s="37">
        <v>16909</v>
      </c>
      <c r="P14" s="37"/>
      <c r="Q14" s="37">
        <f t="shared" si="0"/>
        <v>1111698</v>
      </c>
      <c r="R14" s="19"/>
    </row>
    <row r="15" spans="1:20" ht="24.75" customHeight="1" x14ac:dyDescent="0.35">
      <c r="A15" s="75"/>
      <c r="B15" s="81"/>
      <c r="C15" s="30" t="s">
        <v>42</v>
      </c>
      <c r="D15" s="37">
        <v>291762</v>
      </c>
      <c r="E15" s="37"/>
      <c r="F15" s="37">
        <v>43136</v>
      </c>
      <c r="G15" s="37">
        <v>119948</v>
      </c>
      <c r="H15" s="37">
        <f>360786-L15</f>
        <v>360786</v>
      </c>
      <c r="I15" s="37"/>
      <c r="J15" s="37"/>
      <c r="K15" s="37"/>
      <c r="L15" s="37"/>
      <c r="M15" s="37">
        <v>1230</v>
      </c>
      <c r="N15" s="37"/>
      <c r="O15" s="37">
        <v>20626</v>
      </c>
      <c r="P15" s="37"/>
      <c r="Q15" s="37">
        <f t="shared" si="0"/>
        <v>837488</v>
      </c>
      <c r="R15" s="19"/>
    </row>
    <row r="16" spans="1:20" ht="23.25" customHeight="1" x14ac:dyDescent="0.35">
      <c r="A16" s="75">
        <v>4</v>
      </c>
      <c r="B16" s="81" t="s">
        <v>58</v>
      </c>
      <c r="C16" s="30" t="s">
        <v>16</v>
      </c>
      <c r="D16" s="37"/>
      <c r="E16" s="37"/>
      <c r="F16" s="37"/>
      <c r="G16" s="37">
        <v>8928</v>
      </c>
      <c r="H16" s="37">
        <v>211</v>
      </c>
      <c r="I16" s="37"/>
      <c r="J16" s="37"/>
      <c r="K16" s="37"/>
      <c r="L16" s="37"/>
      <c r="M16" s="37"/>
      <c r="N16" s="37"/>
      <c r="O16" s="37"/>
      <c r="P16" s="37">
        <v>336</v>
      </c>
      <c r="Q16" s="37">
        <f t="shared" si="0"/>
        <v>9475</v>
      </c>
      <c r="R16" s="19"/>
    </row>
    <row r="17" spans="1:18" ht="23.25" customHeight="1" x14ac:dyDescent="0.35">
      <c r="A17" s="75"/>
      <c r="B17" s="81"/>
      <c r="C17" s="30" t="s">
        <v>41</v>
      </c>
      <c r="D17" s="37"/>
      <c r="E17" s="37"/>
      <c r="F17" s="37"/>
      <c r="G17" s="37">
        <v>2095</v>
      </c>
      <c r="H17" s="37">
        <v>14</v>
      </c>
      <c r="I17" s="37"/>
      <c r="J17" s="37"/>
      <c r="K17" s="37"/>
      <c r="L17" s="37"/>
      <c r="M17" s="37"/>
      <c r="N17" s="37"/>
      <c r="O17" s="37"/>
      <c r="P17" s="37"/>
      <c r="Q17" s="37">
        <f t="shared" si="0"/>
        <v>2109</v>
      </c>
      <c r="R17" s="19"/>
    </row>
    <row r="18" spans="1:18" ht="23.25" customHeight="1" x14ac:dyDescent="0.35">
      <c r="A18" s="75"/>
      <c r="B18" s="81"/>
      <c r="C18" s="30" t="s">
        <v>42</v>
      </c>
      <c r="D18" s="37"/>
      <c r="E18" s="37"/>
      <c r="F18" s="37"/>
      <c r="G18" s="37">
        <v>14546</v>
      </c>
      <c r="H18" s="37"/>
      <c r="I18" s="37"/>
      <c r="J18" s="37"/>
      <c r="K18" s="37"/>
      <c r="L18" s="37"/>
      <c r="M18" s="37"/>
      <c r="N18" s="37"/>
      <c r="O18" s="37"/>
      <c r="P18" s="37"/>
      <c r="Q18" s="37">
        <f t="shared" si="0"/>
        <v>14546</v>
      </c>
      <c r="R18" s="19"/>
    </row>
    <row r="19" spans="1:18" ht="21" customHeight="1" x14ac:dyDescent="0.35">
      <c r="A19" s="75">
        <v>5</v>
      </c>
      <c r="B19" s="81" t="s">
        <v>66</v>
      </c>
      <c r="C19" s="30" t="s">
        <v>16</v>
      </c>
      <c r="D19" s="37">
        <v>21944</v>
      </c>
      <c r="E19" s="37"/>
      <c r="F19" s="37">
        <v>4885</v>
      </c>
      <c r="G19" s="37">
        <v>23181</v>
      </c>
      <c r="H19" s="37">
        <v>29663</v>
      </c>
      <c r="I19" s="37"/>
      <c r="J19" s="37"/>
      <c r="K19" s="37"/>
      <c r="L19" s="37">
        <v>110941</v>
      </c>
      <c r="M19" s="37"/>
      <c r="N19" s="37">
        <v>135177.9</v>
      </c>
      <c r="O19" s="37"/>
      <c r="P19" s="37">
        <v>83838</v>
      </c>
      <c r="Q19" s="37">
        <f>SUM(D19:P19)</f>
        <v>409629.9</v>
      </c>
      <c r="R19" s="19"/>
    </row>
    <row r="20" spans="1:18" ht="24.75" customHeight="1" x14ac:dyDescent="0.35">
      <c r="A20" s="75"/>
      <c r="B20" s="81"/>
      <c r="C20" s="30" t="s">
        <v>41</v>
      </c>
      <c r="D20" s="37">
        <v>23482</v>
      </c>
      <c r="E20" s="37"/>
      <c r="F20" s="37">
        <v>5579</v>
      </c>
      <c r="G20" s="37">
        <v>17981</v>
      </c>
      <c r="H20" s="37">
        <v>21372</v>
      </c>
      <c r="I20" s="37"/>
      <c r="J20" s="37"/>
      <c r="K20" s="37"/>
      <c r="L20" s="37">
        <v>108700</v>
      </c>
      <c r="M20" s="37"/>
      <c r="N20" s="37">
        <v>96043</v>
      </c>
      <c r="O20" s="37"/>
      <c r="P20" s="37">
        <v>170567</v>
      </c>
      <c r="Q20" s="37">
        <f>SUM(D20:P20)</f>
        <v>443724</v>
      </c>
      <c r="R20" s="19"/>
    </row>
    <row r="21" spans="1:18" ht="21.75" customHeight="1" x14ac:dyDescent="0.35">
      <c r="A21" s="75"/>
      <c r="B21" s="81"/>
      <c r="C21" s="30" t="s">
        <v>42</v>
      </c>
      <c r="D21" s="37">
        <v>23237</v>
      </c>
      <c r="E21" s="37"/>
      <c r="F21" s="37">
        <v>4918</v>
      </c>
      <c r="G21" s="37">
        <v>29485</v>
      </c>
      <c r="H21" s="37">
        <v>38913</v>
      </c>
      <c r="I21" s="37"/>
      <c r="J21" s="37"/>
      <c r="K21" s="37"/>
      <c r="L21" s="37">
        <v>124725</v>
      </c>
      <c r="M21" s="37"/>
      <c r="N21" s="37">
        <v>59698</v>
      </c>
      <c r="O21" s="37"/>
      <c r="P21" s="37">
        <v>30278</v>
      </c>
      <c r="Q21" s="37">
        <f t="shared" si="0"/>
        <v>311254</v>
      </c>
      <c r="R21" s="19"/>
    </row>
    <row r="22" spans="1:18" ht="17.25" x14ac:dyDescent="0.35">
      <c r="A22" s="89" t="s">
        <v>68</v>
      </c>
      <c r="B22" s="89"/>
      <c r="C22" s="89"/>
      <c r="D22" s="89"/>
      <c r="E22" s="89"/>
      <c r="F22" s="89"/>
      <c r="G22" s="89"/>
      <c r="H22" s="89"/>
      <c r="I22" s="89"/>
      <c r="J22" s="89"/>
      <c r="K22" s="89"/>
      <c r="L22" s="89"/>
      <c r="M22" s="89"/>
      <c r="N22" s="89"/>
      <c r="O22" s="89"/>
      <c r="P22" s="89"/>
      <c r="Q22" s="89"/>
    </row>
  </sheetData>
  <mergeCells count="34">
    <mergeCell ref="A1:Q1"/>
    <mergeCell ref="A2:Q2"/>
    <mergeCell ref="A3:Q3"/>
    <mergeCell ref="B5:B6"/>
    <mergeCell ref="A10:A12"/>
    <mergeCell ref="B10:B12"/>
    <mergeCell ref="A4:A6"/>
    <mergeCell ref="B4:P4"/>
    <mergeCell ref="Q4:Q6"/>
    <mergeCell ref="C5:C6"/>
    <mergeCell ref="D5:E5"/>
    <mergeCell ref="F5:F6"/>
    <mergeCell ref="G5:G6"/>
    <mergeCell ref="P5:P6"/>
    <mergeCell ref="A7:A9"/>
    <mergeCell ref="B7:B9"/>
    <mergeCell ref="N5:N6"/>
    <mergeCell ref="O5:O6"/>
    <mergeCell ref="A13:A15"/>
    <mergeCell ref="B13:B15"/>
    <mergeCell ref="H5:H6"/>
    <mergeCell ref="I5:I6"/>
    <mergeCell ref="A22:Q22"/>
    <mergeCell ref="A16:A18"/>
    <mergeCell ref="B16:B18"/>
    <mergeCell ref="A19:A21"/>
    <mergeCell ref="B19:B21"/>
    <mergeCell ref="I7:L7"/>
    <mergeCell ref="I8:L8"/>
    <mergeCell ref="I9:L9"/>
    <mergeCell ref="J5:J6"/>
    <mergeCell ref="K5:K6"/>
    <mergeCell ref="L5:L6"/>
    <mergeCell ref="M5:M6"/>
  </mergeCells>
  <conditionalFormatting sqref="C7:Q21">
    <cfRule type="expression" dxfId="8" priority="1">
      <formula>MOD(ROW(),2)=0</formula>
    </cfRule>
  </conditionalFormatting>
  <printOptions horizontalCentered="1"/>
  <pageMargins left="0.19685039370078741" right="0.39370078740157483" top="0.59055118110236227" bottom="0.39370078740157483" header="0.31496062992125984" footer="0.31496062992125984"/>
  <pageSetup paperSize="9" scale="63" orientation="landscape" r:id="rId1"/>
  <headerFooter>
    <oddFooter>&amp;CA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54232-97C9-4376-9B0E-3AEF1F1E0A01}">
  <sheetPr>
    <pageSetUpPr fitToPage="1"/>
  </sheetPr>
  <dimension ref="A1:T21"/>
  <sheetViews>
    <sheetView showZeros="0" view="pageBreakPreview" zoomScale="50" zoomScaleNormal="100" zoomScaleSheetLayoutView="50" workbookViewId="0">
      <selection sqref="A1:J1"/>
    </sheetView>
  </sheetViews>
  <sheetFormatPr defaultColWidth="9.140625" defaultRowHeight="16.5" x14ac:dyDescent="0.3"/>
  <cols>
    <col min="1" max="1" width="6.42578125" style="3" customWidth="1"/>
    <col min="2" max="2" width="17.85546875" style="8" customWidth="1"/>
    <col min="3" max="3" width="12.42578125" style="2" customWidth="1"/>
    <col min="4" max="4" width="16.5703125" style="2" customWidth="1"/>
    <col min="5" max="5" width="14" style="2" customWidth="1"/>
    <col min="6" max="6" width="17.42578125" style="2" customWidth="1"/>
    <col min="7" max="7" width="16.7109375" style="2" customWidth="1"/>
    <col min="8" max="8" width="20.28515625" style="2" customWidth="1"/>
    <col min="9" max="9" width="13.85546875" style="2" customWidth="1"/>
    <col min="10" max="10" width="13.5703125" style="2" customWidth="1"/>
    <col min="11" max="11" width="17.28515625" style="2" customWidth="1"/>
    <col min="12" max="12" width="15.85546875" style="2" customWidth="1"/>
    <col min="13" max="13" width="10.7109375" style="2" customWidth="1"/>
    <col min="14" max="14" width="13.140625" style="2" customWidth="1"/>
    <col min="15" max="15" width="14" style="2" customWidth="1"/>
    <col min="16" max="16384" width="9.140625" style="2"/>
  </cols>
  <sheetData>
    <row r="1" spans="1:20" ht="18" x14ac:dyDescent="0.3">
      <c r="A1" s="108" t="s">
        <v>85</v>
      </c>
      <c r="B1" s="108"/>
      <c r="C1" s="108"/>
      <c r="D1" s="108"/>
      <c r="E1" s="108"/>
      <c r="F1" s="108"/>
      <c r="G1" s="108"/>
      <c r="H1" s="108"/>
      <c r="I1" s="108"/>
      <c r="J1" s="108"/>
    </row>
    <row r="2" spans="1:20" ht="18" x14ac:dyDescent="0.3">
      <c r="A2" s="87" t="s">
        <v>86</v>
      </c>
      <c r="B2" s="87"/>
      <c r="C2" s="87"/>
      <c r="D2" s="87"/>
      <c r="E2" s="87"/>
      <c r="F2" s="87"/>
      <c r="G2" s="87"/>
      <c r="H2" s="87"/>
      <c r="I2" s="87"/>
      <c r="J2" s="87"/>
    </row>
    <row r="3" spans="1:20" ht="18" x14ac:dyDescent="0.3">
      <c r="A3" s="74" t="s">
        <v>46</v>
      </c>
      <c r="B3" s="74"/>
      <c r="C3" s="74"/>
      <c r="D3" s="74"/>
      <c r="E3" s="74"/>
      <c r="F3" s="74"/>
      <c r="G3" s="74"/>
      <c r="H3" s="74"/>
      <c r="I3" s="74"/>
      <c r="J3" s="74"/>
    </row>
    <row r="4" spans="1:20" s="14" customFormat="1" ht="27.75" customHeight="1" x14ac:dyDescent="0.3">
      <c r="A4" s="77" t="s">
        <v>106</v>
      </c>
      <c r="B4" s="77" t="s">
        <v>31</v>
      </c>
      <c r="C4" s="77"/>
      <c r="D4" s="77"/>
      <c r="E4" s="77"/>
      <c r="F4" s="77"/>
      <c r="G4" s="77"/>
      <c r="H4" s="77"/>
      <c r="I4" s="77"/>
      <c r="J4" s="77" t="s">
        <v>64</v>
      </c>
    </row>
    <row r="5" spans="1:20" s="14" customFormat="1" ht="72" customHeight="1" x14ac:dyDescent="0.3">
      <c r="A5" s="77"/>
      <c r="B5" s="29" t="s">
        <v>32</v>
      </c>
      <c r="C5" s="29" t="s">
        <v>33</v>
      </c>
      <c r="D5" s="29" t="s">
        <v>34</v>
      </c>
      <c r="E5" s="29" t="s">
        <v>35</v>
      </c>
      <c r="F5" s="29" t="s">
        <v>60</v>
      </c>
      <c r="G5" s="29" t="s">
        <v>36</v>
      </c>
      <c r="H5" s="29" t="s">
        <v>39</v>
      </c>
      <c r="I5" s="29" t="s">
        <v>38</v>
      </c>
      <c r="J5" s="77"/>
    </row>
    <row r="6" spans="1:20" ht="24" customHeight="1" x14ac:dyDescent="0.35">
      <c r="A6" s="75">
        <v>1</v>
      </c>
      <c r="B6" s="76" t="s">
        <v>40</v>
      </c>
      <c r="C6" s="30" t="s">
        <v>16</v>
      </c>
      <c r="D6" s="66">
        <f>ROUND(175.994*365,0)</f>
        <v>64238</v>
      </c>
      <c r="E6" s="33"/>
      <c r="F6" s="66">
        <f>ROUND(75.426*365,0)</f>
        <v>27530</v>
      </c>
      <c r="G6" s="33"/>
      <c r="H6" s="33"/>
      <c r="I6" s="35"/>
      <c r="J6" s="37">
        <f t="shared" ref="J6:J20" si="0">SUM(D6:I6)</f>
        <v>91768</v>
      </c>
    </row>
    <row r="7" spans="1:20" ht="22.5" customHeight="1" x14ac:dyDescent="0.35">
      <c r="A7" s="75"/>
      <c r="B7" s="76"/>
      <c r="C7" s="30" t="s">
        <v>41</v>
      </c>
      <c r="D7" s="66">
        <f>ROUND(243.733*365,0)</f>
        <v>88963</v>
      </c>
      <c r="E7" s="33"/>
      <c r="F7" s="66">
        <f>ROUND(104.457*365,0)</f>
        <v>38127</v>
      </c>
      <c r="G7" s="33"/>
      <c r="H7" s="33"/>
      <c r="I7" s="35"/>
      <c r="J7" s="37">
        <f t="shared" si="0"/>
        <v>127090</v>
      </c>
    </row>
    <row r="8" spans="1:20" ht="24.75" customHeight="1" x14ac:dyDescent="0.35">
      <c r="A8" s="75"/>
      <c r="B8" s="76"/>
      <c r="C8" s="30" t="s">
        <v>42</v>
      </c>
      <c r="D8" s="66">
        <f>ROUND(241.829*365,0)</f>
        <v>88268</v>
      </c>
      <c r="E8" s="33"/>
      <c r="F8" s="66">
        <f>ROUND(103.641*365,0)</f>
        <v>37829</v>
      </c>
      <c r="G8" s="33"/>
      <c r="H8" s="33"/>
      <c r="I8" s="35"/>
      <c r="J8" s="37">
        <f t="shared" si="0"/>
        <v>126097</v>
      </c>
      <c r="T8" s="23"/>
    </row>
    <row r="9" spans="1:20" ht="22.5" customHeight="1" x14ac:dyDescent="0.35">
      <c r="A9" s="75">
        <v>2</v>
      </c>
      <c r="B9" s="76" t="s">
        <v>43</v>
      </c>
      <c r="C9" s="30" t="s">
        <v>16</v>
      </c>
      <c r="D9" s="33"/>
      <c r="E9" s="35">
        <f>ROUND(830.74/1000*365,0)</f>
        <v>303</v>
      </c>
      <c r="F9" s="33"/>
      <c r="G9" s="33"/>
      <c r="H9" s="33"/>
      <c r="I9" s="35"/>
      <c r="J9" s="37">
        <f t="shared" si="0"/>
        <v>303</v>
      </c>
    </row>
    <row r="10" spans="1:20" ht="22.5" customHeight="1" x14ac:dyDescent="0.35">
      <c r="A10" s="75"/>
      <c r="B10" s="76"/>
      <c r="C10" s="30" t="s">
        <v>41</v>
      </c>
      <c r="D10" s="33"/>
      <c r="E10" s="35">
        <f>ROUND(936.37/1000*365,0)</f>
        <v>342</v>
      </c>
      <c r="F10" s="33"/>
      <c r="G10" s="33"/>
      <c r="H10" s="33"/>
      <c r="I10" s="35"/>
      <c r="J10" s="37">
        <f t="shared" si="0"/>
        <v>342</v>
      </c>
    </row>
    <row r="11" spans="1:20" ht="24.75" customHeight="1" x14ac:dyDescent="0.35">
      <c r="A11" s="75"/>
      <c r="B11" s="76"/>
      <c r="C11" s="30" t="s">
        <v>42</v>
      </c>
      <c r="D11" s="33"/>
      <c r="E11" s="35">
        <f>ROUND(863.13/1000*365,0)</f>
        <v>315</v>
      </c>
      <c r="F11" s="33"/>
      <c r="G11" s="33"/>
      <c r="H11" s="33"/>
      <c r="I11" s="35"/>
      <c r="J11" s="37">
        <f t="shared" si="0"/>
        <v>315</v>
      </c>
    </row>
    <row r="12" spans="1:20" ht="24.75" customHeight="1" x14ac:dyDescent="0.35">
      <c r="A12" s="75">
        <v>3</v>
      </c>
      <c r="B12" s="76" t="s">
        <v>44</v>
      </c>
      <c r="C12" s="30" t="s">
        <v>16</v>
      </c>
      <c r="D12" s="33"/>
      <c r="E12" s="33">
        <f>0</f>
        <v>0</v>
      </c>
      <c r="F12" s="33"/>
      <c r="G12" s="33"/>
      <c r="H12" s="33"/>
      <c r="I12" s="35"/>
      <c r="J12" s="37">
        <f t="shared" si="0"/>
        <v>0</v>
      </c>
    </row>
    <row r="13" spans="1:20" ht="24" customHeight="1" x14ac:dyDescent="0.35">
      <c r="A13" s="75"/>
      <c r="B13" s="76"/>
      <c r="C13" s="30" t="s">
        <v>41</v>
      </c>
      <c r="D13" s="33"/>
      <c r="E13" s="33">
        <v>20</v>
      </c>
      <c r="F13" s="33"/>
      <c r="G13" s="33"/>
      <c r="H13" s="33"/>
      <c r="I13" s="35"/>
      <c r="J13" s="37">
        <f t="shared" si="0"/>
        <v>20</v>
      </c>
    </row>
    <row r="14" spans="1:20" ht="22.5" customHeight="1" x14ac:dyDescent="0.35">
      <c r="A14" s="75"/>
      <c r="B14" s="76"/>
      <c r="C14" s="30" t="s">
        <v>42</v>
      </c>
      <c r="D14" s="33"/>
      <c r="E14" s="33">
        <v>51</v>
      </c>
      <c r="F14" s="33"/>
      <c r="G14" s="33"/>
      <c r="H14" s="33"/>
      <c r="I14" s="35"/>
      <c r="J14" s="37">
        <f t="shared" si="0"/>
        <v>51</v>
      </c>
    </row>
    <row r="15" spans="1:20" ht="24.75" customHeight="1" x14ac:dyDescent="0.35">
      <c r="A15" s="75">
        <v>4</v>
      </c>
      <c r="B15" s="76" t="s">
        <v>45</v>
      </c>
      <c r="C15" s="30" t="s">
        <v>16</v>
      </c>
      <c r="D15" s="33"/>
      <c r="E15" s="33">
        <f>ROUND(24.648,0)</f>
        <v>25</v>
      </c>
      <c r="F15" s="33"/>
      <c r="G15" s="33"/>
      <c r="H15" s="33"/>
      <c r="I15" s="35"/>
      <c r="J15" s="37">
        <f t="shared" si="0"/>
        <v>25</v>
      </c>
    </row>
    <row r="16" spans="1:20" s="13" customFormat="1" ht="24" customHeight="1" x14ac:dyDescent="0.35">
      <c r="A16" s="75"/>
      <c r="B16" s="76"/>
      <c r="C16" s="30" t="s">
        <v>41</v>
      </c>
      <c r="D16" s="33"/>
      <c r="E16" s="33">
        <f>ROUND(2.96,0)</f>
        <v>3</v>
      </c>
      <c r="F16" s="33"/>
      <c r="G16" s="33"/>
      <c r="H16" s="33"/>
      <c r="I16" s="35"/>
      <c r="J16" s="37">
        <f t="shared" si="0"/>
        <v>3</v>
      </c>
    </row>
    <row r="17" spans="1:10" s="13" customFormat="1" ht="24" customHeight="1" x14ac:dyDescent="0.35">
      <c r="A17" s="75"/>
      <c r="B17" s="76"/>
      <c r="C17" s="30" t="s">
        <v>42</v>
      </c>
      <c r="D17" s="33"/>
      <c r="E17" s="33">
        <f>ROUND(19.308,0)</f>
        <v>19</v>
      </c>
      <c r="F17" s="33"/>
      <c r="G17" s="33"/>
      <c r="H17" s="33"/>
      <c r="I17" s="43"/>
      <c r="J17" s="37">
        <f t="shared" si="0"/>
        <v>19</v>
      </c>
    </row>
    <row r="18" spans="1:10" s="13" customFormat="1" ht="22.5" customHeight="1" x14ac:dyDescent="0.35">
      <c r="A18" s="75">
        <v>5</v>
      </c>
      <c r="B18" s="76" t="s">
        <v>66</v>
      </c>
      <c r="C18" s="30" t="s">
        <v>16</v>
      </c>
      <c r="D18" s="66">
        <f>ROUND(0.03094*365,0)</f>
        <v>11</v>
      </c>
      <c r="E18" s="33"/>
      <c r="F18" s="66">
        <f>ROUND(0.00549*365,0)</f>
        <v>2</v>
      </c>
      <c r="G18" s="33"/>
      <c r="H18" s="33"/>
      <c r="I18" s="35"/>
      <c r="J18" s="37">
        <f t="shared" si="0"/>
        <v>13</v>
      </c>
    </row>
    <row r="19" spans="1:10" s="13" customFormat="1" ht="21.75" customHeight="1" x14ac:dyDescent="0.35">
      <c r="A19" s="75"/>
      <c r="B19" s="76"/>
      <c r="C19" s="30" t="s">
        <v>41</v>
      </c>
      <c r="D19" s="66">
        <f>ROUND(18.417*365,0)</f>
        <v>6722</v>
      </c>
      <c r="E19" s="33"/>
      <c r="F19" s="66">
        <f>ROUND(3.25*365,0)</f>
        <v>1186</v>
      </c>
      <c r="G19" s="33"/>
      <c r="H19" s="33"/>
      <c r="I19" s="35"/>
      <c r="J19" s="37">
        <f t="shared" si="0"/>
        <v>7908</v>
      </c>
    </row>
    <row r="20" spans="1:10" s="13" customFormat="1" ht="25.5" customHeight="1" x14ac:dyDescent="0.35">
      <c r="A20" s="75"/>
      <c r="B20" s="76"/>
      <c r="C20" s="30" t="s">
        <v>42</v>
      </c>
      <c r="D20" s="66">
        <f>ROUND(3.52665*365,0)</f>
        <v>1287</v>
      </c>
      <c r="E20" s="33"/>
      <c r="F20" s="66">
        <f>ROUND(0.6223*365,0)</f>
        <v>227</v>
      </c>
      <c r="G20" s="33"/>
      <c r="H20" s="33"/>
      <c r="I20" s="35"/>
      <c r="J20" s="37">
        <f t="shared" si="0"/>
        <v>1514</v>
      </c>
    </row>
    <row r="21" spans="1:10" s="13" customFormat="1" ht="120" customHeight="1" x14ac:dyDescent="0.3">
      <c r="A21" s="72" t="s">
        <v>87</v>
      </c>
      <c r="B21" s="72"/>
      <c r="C21" s="72"/>
      <c r="D21" s="72"/>
      <c r="E21" s="72"/>
      <c r="F21" s="72"/>
      <c r="G21" s="72"/>
      <c r="H21" s="72"/>
      <c r="I21" s="72"/>
      <c r="J21" s="72"/>
    </row>
  </sheetData>
  <mergeCells count="17">
    <mergeCell ref="A21:J21"/>
    <mergeCell ref="A12:A14"/>
    <mergeCell ref="B12:B14"/>
    <mergeCell ref="A15:A17"/>
    <mergeCell ref="B15:B17"/>
    <mergeCell ref="A18:A20"/>
    <mergeCell ref="B18:B20"/>
    <mergeCell ref="A9:A11"/>
    <mergeCell ref="B9:B11"/>
    <mergeCell ref="A1:J1"/>
    <mergeCell ref="A2:J2"/>
    <mergeCell ref="A3:J3"/>
    <mergeCell ref="A4:A5"/>
    <mergeCell ref="B4:I4"/>
    <mergeCell ref="J4:J5"/>
    <mergeCell ref="A6:A8"/>
    <mergeCell ref="B6:B8"/>
  </mergeCells>
  <conditionalFormatting sqref="C6:J20">
    <cfRule type="expression" dxfId="7" priority="1">
      <formula>MOD(ROW(),2)=0</formula>
    </cfRule>
  </conditionalFormatting>
  <printOptions horizontalCentered="1"/>
  <pageMargins left="0.19685039370078741" right="0.39370078740157483" top="0.59055118110236227" bottom="0.39370078740157483" header="0.31496062992125984" footer="0.31496062992125984"/>
  <pageSetup paperSize="9" scale="86" orientation="landscape" r:id="rId1"/>
  <headerFooter>
    <oddFooter>&amp;CA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Annexure 3.1</vt:lpstr>
      <vt:lpstr>Annexure 3.2</vt:lpstr>
      <vt:lpstr>Annexure 3.3</vt:lpstr>
      <vt:lpstr>Annexure 3.4</vt:lpstr>
      <vt:lpstr>Annexure 3.5</vt:lpstr>
      <vt:lpstr>Annexure 3.6</vt:lpstr>
      <vt:lpstr>Annexure 3.7</vt:lpstr>
      <vt:lpstr>Annexure 3.8</vt:lpstr>
      <vt:lpstr>Annexure 3.9</vt:lpstr>
      <vt:lpstr>Annexure 3.10</vt:lpstr>
      <vt:lpstr>Annexure 3.11</vt:lpstr>
      <vt:lpstr>Annexure 3.12</vt:lpstr>
      <vt:lpstr>Annexure 3.13</vt:lpstr>
      <vt:lpstr>Annexure 3.14</vt:lpstr>
      <vt:lpstr>Annexure 3.15</vt:lpstr>
      <vt:lpstr>Annexure 3.16</vt:lpstr>
      <vt:lpstr>'Annexure 3.10'!Print_Area</vt:lpstr>
      <vt:lpstr>'Annexure 3.12'!Print_Area</vt:lpstr>
      <vt:lpstr>'Annexure 3.15'!Print_Area</vt:lpstr>
      <vt:lpstr>'Annexure 3.2'!Print_Area</vt:lpstr>
      <vt:lpstr>'Annexure 3.4'!Print_Area</vt:lpstr>
      <vt:lpstr>'Annexure 3.6'!Print_Area</vt:lpstr>
      <vt:lpstr>'Annexure 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2023-09-27T06:23:27Z</dcterms:modified>
</cp:coreProperties>
</file>