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6"/>
  <workbookPr filterPrivacy="1" defaultThemeVersion="124226"/>
  <xr:revisionPtr revIDLastSave="0" documentId="13_ncr:1_{98C15CFB-8B10-4E8F-81D2-05DD1045E8AF}" xr6:coauthVersionLast="36" xr6:coauthVersionMax="36" xr10:uidLastSave="{00000000-0000-0000-0000-000000000000}"/>
  <bookViews>
    <workbookView xWindow="-120" yWindow="-120" windowWidth="15480" windowHeight="8520" tabRatio="1000" firstSheet="2" activeTab="25" xr2:uid="{00000000-000D-0000-FFFF-FFFF00000000}"/>
  </bookViews>
  <sheets>
    <sheet name="2.01" sheetId="136" r:id="rId1"/>
    <sheet name="2.02" sheetId="137" r:id="rId2"/>
    <sheet name=" 2.03" sheetId="138" r:id="rId3"/>
    <sheet name="2.04" sheetId="139" r:id="rId4"/>
    <sheet name="2.05" sheetId="86" r:id="rId5"/>
    <sheet name="2.06" sheetId="87" r:id="rId6"/>
    <sheet name="2.07" sheetId="88" r:id="rId7"/>
    <sheet name="2.08" sheetId="89" r:id="rId8"/>
    <sheet name="2.09" sheetId="90" r:id="rId9"/>
    <sheet name="2.10" sheetId="91" r:id="rId10"/>
    <sheet name="2.11" sheetId="92" r:id="rId11"/>
    <sheet name="2.12" sheetId="93" r:id="rId12"/>
    <sheet name="2.13 " sheetId="143" r:id="rId13"/>
    <sheet name="2.14" sheetId="144" r:id="rId14"/>
    <sheet name="2.15 " sheetId="145" r:id="rId15"/>
    <sheet name="2.16" sheetId="97" r:id="rId16"/>
    <sheet name="2.17" sheetId="98" r:id="rId17"/>
    <sheet name="2.18" sheetId="99" r:id="rId18"/>
    <sheet name="2.19" sheetId="101" r:id="rId19"/>
    <sheet name="2.20(a)" sheetId="140" r:id="rId20"/>
    <sheet name="2.20 (b)" sheetId="141" r:id="rId21"/>
    <sheet name="2.20(c)" sheetId="142" r:id="rId22"/>
    <sheet name="2.21" sheetId="109" r:id="rId23"/>
    <sheet name="2.22" sheetId="111" r:id="rId24"/>
    <sheet name="2.23" sheetId="112" r:id="rId25"/>
    <sheet name="2.24" sheetId="146" r:id="rId26"/>
    <sheet name="2.25" sheetId="114" r:id="rId27"/>
    <sheet name="2.26a" sheetId="116" r:id="rId28"/>
    <sheet name="2.26b" sheetId="117" r:id="rId29"/>
    <sheet name="2.26c" sheetId="118" r:id="rId30"/>
    <sheet name="2.26d" sheetId="119" r:id="rId31"/>
    <sheet name="2.27a" sheetId="122" r:id="rId32"/>
    <sheet name="2.27b" sheetId="123" r:id="rId33"/>
    <sheet name="2.28" sheetId="124" r:id="rId34"/>
    <sheet name="2.29" sheetId="125" r:id="rId35"/>
    <sheet name="2.30" sheetId="126" r:id="rId36"/>
    <sheet name="2.31" sheetId="127" r:id="rId37"/>
    <sheet name="2.32" sheetId="128" r:id="rId38"/>
    <sheet name="2.33(a)" sheetId="129" r:id="rId39"/>
    <sheet name="2.33(b)" sheetId="130" r:id="rId40"/>
    <sheet name="2.34a" sheetId="131" r:id="rId41"/>
    <sheet name="2.34b" sheetId="132" r:id="rId42"/>
    <sheet name="2.34c" sheetId="133" r:id="rId43"/>
    <sheet name="2.35a" sheetId="134" r:id="rId44"/>
    <sheet name="2.35b" sheetId="135" r:id="rId45"/>
    <sheet name="2.36" sheetId="47" r:id="rId46"/>
    <sheet name="2.37" sheetId="71" r:id="rId47"/>
    <sheet name="2.38ab" sheetId="65" r:id="rId48"/>
    <sheet name="2.39a" sheetId="72" r:id="rId49"/>
    <sheet name="2.39b" sheetId="80" r:id="rId50"/>
    <sheet name="2.40a" sheetId="50" r:id="rId51"/>
    <sheet name="2.40b" sheetId="29" r:id="rId52"/>
    <sheet name="2.40c" sheetId="38" r:id="rId53"/>
    <sheet name="2.41" sheetId="30" r:id="rId54"/>
    <sheet name="2.42a" sheetId="75" r:id="rId55"/>
    <sheet name="2.42b" sheetId="40" r:id="rId56"/>
    <sheet name="2.43a" sheetId="84" r:id="rId57"/>
    <sheet name="2.43b" sheetId="85" r:id="rId58"/>
    <sheet name="2.61 " sheetId="67" state="hidden" r:id="rId59"/>
    <sheet name="2.44" sheetId="79" r:id="rId60"/>
    <sheet name="2.57" sheetId="66" r:id="rId61"/>
  </sheets>
  <definedNames>
    <definedName name="_xlnm._FilterDatabase" localSheetId="5" hidden="1">'2.06'!$A$3:$R$81</definedName>
    <definedName name="aa"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3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b"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b"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b"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b"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b"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b"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b"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b"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b"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3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ollege" localSheetId="2">#REF!</definedName>
    <definedName name="College" localSheetId="0">#REF!</definedName>
    <definedName name="College" localSheetId="1">#REF!</definedName>
    <definedName name="College" localSheetId="3">#REF!</definedName>
    <definedName name="College" localSheetId="25">#REF!</definedName>
    <definedName name="College" localSheetId="28">#REF!</definedName>
    <definedName name="College" localSheetId="29">#REF!</definedName>
    <definedName name="College" localSheetId="30">#REF!</definedName>
    <definedName name="College" localSheetId="32">#REF!</definedName>
    <definedName name="College" localSheetId="37">#REF!</definedName>
    <definedName name="College" localSheetId="42">#REF!</definedName>
    <definedName name="College" localSheetId="43">#REF!</definedName>
    <definedName name="College" localSheetId="44">#REF!</definedName>
    <definedName name="College" localSheetId="47">#REF!</definedName>
    <definedName name="College" localSheetId="56">#REF!</definedName>
    <definedName name="College" localSheetId="57">#REF!</definedName>
    <definedName name="College" localSheetId="58">#REF!</definedName>
    <definedName name="College">#REF!</definedName>
    <definedName name="d" localSheetId="2">#REF!</definedName>
    <definedName name="d" localSheetId="0">#REF!</definedName>
    <definedName name="d" localSheetId="1">#REF!</definedName>
    <definedName name="d" localSheetId="3">#REF!</definedName>
    <definedName name="d" localSheetId="25">#REF!</definedName>
    <definedName name="d" localSheetId="28">#REF!</definedName>
    <definedName name="d" localSheetId="29">#REF!</definedName>
    <definedName name="d" localSheetId="30">#REF!</definedName>
    <definedName name="d" localSheetId="32">#REF!</definedName>
    <definedName name="d" localSheetId="37">#REF!</definedName>
    <definedName name="d" localSheetId="42">#REF!</definedName>
    <definedName name="d" localSheetId="43">#REF!</definedName>
    <definedName name="d" localSheetId="44">#REF!</definedName>
    <definedName name="d" localSheetId="47">#REF!</definedName>
    <definedName name="d" localSheetId="56">#REF!</definedName>
    <definedName name="d" localSheetId="57">#REF!</definedName>
    <definedName name="d" localSheetId="58">#REF!</definedName>
    <definedName name="d">#REF!</definedName>
    <definedName name="elec"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gg" localSheetId="2">#REF!</definedName>
    <definedName name="ggg" localSheetId="0">#REF!</definedName>
    <definedName name="ggg" localSheetId="1">#REF!</definedName>
    <definedName name="ggg" localSheetId="3">#REF!</definedName>
    <definedName name="ggg" localSheetId="20">#REF!</definedName>
    <definedName name="ggg" localSheetId="19">#REF!</definedName>
    <definedName name="ggg" localSheetId="21">#REF!</definedName>
    <definedName name="ggg" localSheetId="25">#REF!</definedName>
    <definedName name="ggg" localSheetId="34">#REF!</definedName>
    <definedName name="ggg" localSheetId="35">#REF!</definedName>
    <definedName name="ggg" localSheetId="36">#REF!</definedName>
    <definedName name="ggg" localSheetId="37">#REF!</definedName>
    <definedName name="ggg" localSheetId="43">#REF!</definedName>
    <definedName name="ggg" localSheetId="44">#REF!</definedName>
    <definedName name="ggg" localSheetId="48">#REF!</definedName>
    <definedName name="ggg" localSheetId="56">#REF!</definedName>
    <definedName name="ggg" localSheetId="57">#REF!</definedName>
    <definedName name="ggg">#REF!</definedName>
    <definedName name="JR_PAGE_ANCHOR_0_1" localSheetId="2">#REF!</definedName>
    <definedName name="JR_PAGE_ANCHOR_0_1" localSheetId="0">#REF!</definedName>
    <definedName name="JR_PAGE_ANCHOR_0_1" localSheetId="1">#REF!</definedName>
    <definedName name="JR_PAGE_ANCHOR_0_1" localSheetId="3">#REF!</definedName>
    <definedName name="JR_PAGE_ANCHOR_0_1" localSheetId="25">#REF!</definedName>
    <definedName name="JR_PAGE_ANCHOR_0_1" localSheetId="28">#REF!</definedName>
    <definedName name="JR_PAGE_ANCHOR_0_1" localSheetId="29">#REF!</definedName>
    <definedName name="JR_PAGE_ANCHOR_0_1" localSheetId="30">#REF!</definedName>
    <definedName name="JR_PAGE_ANCHOR_0_1" localSheetId="32">#REF!</definedName>
    <definedName name="JR_PAGE_ANCHOR_0_1" localSheetId="37">#REF!</definedName>
    <definedName name="JR_PAGE_ANCHOR_0_1" localSheetId="42">#REF!</definedName>
    <definedName name="JR_PAGE_ANCHOR_0_1" localSheetId="43">#REF!</definedName>
    <definedName name="JR_PAGE_ANCHOR_0_1" localSheetId="44">#REF!</definedName>
    <definedName name="JR_PAGE_ANCHOR_0_1" localSheetId="47">#REF!</definedName>
    <definedName name="JR_PAGE_ANCHOR_0_1" localSheetId="56">#REF!</definedName>
    <definedName name="JR_PAGE_ANCHOR_0_1" localSheetId="57">#REF!</definedName>
    <definedName name="JR_PAGE_ANCHOR_0_1" localSheetId="58">#REF!</definedName>
    <definedName name="JR_PAGE_ANCHOR_0_1">#REF!</definedName>
    <definedName name="n" localSheetId="2" hidden="1">{#N/A,#N/A,FALSE,"Explanatory notes";#N/A,#N/A,FALSE,"Table 1A 1999";#N/A,#N/A,FALSE,"Table 2A 1999";#N/A,#N/A,FALSE,"Table 3A 1999";#N/A,#N/A,FALSE,"Table 4A 1999";#N/A,#N/A,FALSE,"Table 5A 1999";#N/A,#N/A,FALSE,"Table 6A 1999";#N/A,#N/A,FALSE,"Table 7A 1999";#N/A,#N/A,FALSE,"Table 8A 1999";#N/A,#N/A,FALSE,"Remarks"}</definedName>
    <definedName name="n" localSheetId="0" hidden="1">{#N/A,#N/A,FALSE,"Explanatory notes";#N/A,#N/A,FALSE,"Table 1A 1999";#N/A,#N/A,FALSE,"Table 2A 1999";#N/A,#N/A,FALSE,"Table 3A 1999";#N/A,#N/A,FALSE,"Table 4A 1999";#N/A,#N/A,FALSE,"Table 5A 1999";#N/A,#N/A,FALSE,"Table 6A 1999";#N/A,#N/A,FALSE,"Table 7A 1999";#N/A,#N/A,FALSE,"Table 8A 1999";#N/A,#N/A,FALSE,"Remarks"}</definedName>
    <definedName name="n" localSheetId="1" hidden="1">{#N/A,#N/A,FALSE,"Explanatory notes";#N/A,#N/A,FALSE,"Table 1A 1999";#N/A,#N/A,FALSE,"Table 2A 1999";#N/A,#N/A,FALSE,"Table 3A 1999";#N/A,#N/A,FALSE,"Table 4A 1999";#N/A,#N/A,FALSE,"Table 5A 1999";#N/A,#N/A,FALSE,"Table 6A 1999";#N/A,#N/A,FALSE,"Table 7A 1999";#N/A,#N/A,FALSE,"Table 8A 1999";#N/A,#N/A,FALSE,"Remarks"}</definedName>
    <definedName name="n" localSheetId="3" hidden="1">{#N/A,#N/A,FALSE,"Explanatory notes";#N/A,#N/A,FALSE,"Table 1A 1999";#N/A,#N/A,FALSE,"Table 2A 1999";#N/A,#N/A,FALSE,"Table 3A 1999";#N/A,#N/A,FALSE,"Table 4A 1999";#N/A,#N/A,FALSE,"Table 5A 1999";#N/A,#N/A,FALSE,"Table 6A 1999";#N/A,#N/A,FALSE,"Table 7A 1999";#N/A,#N/A,FALSE,"Table 8A 1999";#N/A,#N/A,FALSE,"Remarks"}</definedName>
    <definedName name="n" localSheetId="20" hidden="1">{#N/A,#N/A,FALSE,"Explanatory notes";#N/A,#N/A,FALSE,"Table 1A 1999";#N/A,#N/A,FALSE,"Table 2A 1999";#N/A,#N/A,FALSE,"Table 3A 1999";#N/A,#N/A,FALSE,"Table 4A 1999";#N/A,#N/A,FALSE,"Table 5A 1999";#N/A,#N/A,FALSE,"Table 6A 1999";#N/A,#N/A,FALSE,"Table 7A 1999";#N/A,#N/A,FALSE,"Table 8A 1999";#N/A,#N/A,FALSE,"Remarks"}</definedName>
    <definedName name="n" localSheetId="19" hidden="1">{#N/A,#N/A,FALSE,"Explanatory notes";#N/A,#N/A,FALSE,"Table 1A 1999";#N/A,#N/A,FALSE,"Table 2A 1999";#N/A,#N/A,FALSE,"Table 3A 1999";#N/A,#N/A,FALSE,"Table 4A 1999";#N/A,#N/A,FALSE,"Table 5A 1999";#N/A,#N/A,FALSE,"Table 6A 1999";#N/A,#N/A,FALSE,"Table 7A 1999";#N/A,#N/A,FALSE,"Table 8A 1999";#N/A,#N/A,FALSE,"Remarks"}</definedName>
    <definedName name="n" localSheetId="21" hidden="1">{#N/A,#N/A,FALSE,"Explanatory notes";#N/A,#N/A,FALSE,"Table 1A 1999";#N/A,#N/A,FALSE,"Table 2A 1999";#N/A,#N/A,FALSE,"Table 3A 1999";#N/A,#N/A,FALSE,"Table 4A 1999";#N/A,#N/A,FALSE,"Table 5A 1999";#N/A,#N/A,FALSE,"Table 6A 1999";#N/A,#N/A,FALSE,"Table 7A 1999";#N/A,#N/A,FALSE,"Table 8A 1999";#N/A,#N/A,FALSE,"Remarks"}</definedName>
    <definedName name="n" localSheetId="25" hidden="1">{#N/A,#N/A,FALSE,"Explanatory notes";#N/A,#N/A,FALSE,"Table 1A 1999";#N/A,#N/A,FALSE,"Table 2A 1999";#N/A,#N/A,FALSE,"Table 3A 1999";#N/A,#N/A,FALSE,"Table 4A 1999";#N/A,#N/A,FALSE,"Table 5A 1999";#N/A,#N/A,FALSE,"Table 6A 1999";#N/A,#N/A,FALSE,"Table 7A 1999";#N/A,#N/A,FALSE,"Table 8A 1999";#N/A,#N/A,FALSE,"Remarks"}</definedName>
    <definedName name="n" hidden="1">{#N/A,#N/A,FALSE,"Explanatory notes";#N/A,#N/A,FALSE,"Table 1A 1999";#N/A,#N/A,FALSE,"Table 2A 1999";#N/A,#N/A,FALSE,"Table 3A 1999";#N/A,#N/A,FALSE,"Table 4A 1999";#N/A,#N/A,FALSE,"Table 5A 1999";#N/A,#N/A,FALSE,"Table 6A 1999";#N/A,#N/A,FALSE,"Table 7A 1999";#N/A,#N/A,FALSE,"Table 8A 1999";#N/A,#N/A,FALSE,"Remarks"}</definedName>
    <definedName name="_xlnm.Print_Area" localSheetId="2">' 2.03'!$A$1:$I$87</definedName>
    <definedName name="_xlnm.Print_Area" localSheetId="0">'2.01'!$A$1:$P$101</definedName>
    <definedName name="_xlnm.Print_Area" localSheetId="1">'2.02'!$A$1:$U$80</definedName>
    <definedName name="_xlnm.Print_Area" localSheetId="3">'2.04'!$A$1:$I$85</definedName>
    <definedName name="_xlnm.Print_Area" localSheetId="4">'2.05'!$A$1:$S$27</definedName>
    <definedName name="_xlnm.Print_Area" localSheetId="5">'2.06'!$A$1:$R$86</definedName>
    <definedName name="_xlnm.Print_Area" localSheetId="6">'2.07'!$A$1:$V$40</definedName>
    <definedName name="_xlnm.Print_Area" localSheetId="7">'2.08'!$A$1:$K$56</definedName>
    <definedName name="_xlnm.Print_Area" localSheetId="8">'2.09'!$A$1:$O$28</definedName>
    <definedName name="_xlnm.Print_Area" localSheetId="9">'2.10'!$A$1:$AB$23</definedName>
    <definedName name="_xlnm.Print_Area" localSheetId="10">'2.11'!$A$1:$N$37</definedName>
    <definedName name="_xlnm.Print_Area" localSheetId="11">'2.12'!$U$1:$AD$52</definedName>
    <definedName name="_xlnm.Print_Area" localSheetId="12">'2.13 '!$L$1:$W$64</definedName>
    <definedName name="_xlnm.Print_Area" localSheetId="13">'2.14'!$A$1:$K$46</definedName>
    <definedName name="_xlnm.Print_Area" localSheetId="14">'2.15 '!$A$1:$J$37</definedName>
    <definedName name="_xlnm.Print_Area" localSheetId="15">'2.16'!$A$1:$R$65</definedName>
    <definedName name="_xlnm.Print_Area" localSheetId="16">'2.17'!$A$1:$O$20</definedName>
    <definedName name="_xlnm.Print_Area" localSheetId="17">'2.18'!$A$1:$R$47</definedName>
    <definedName name="_xlnm.Print_Area" localSheetId="18">'2.19'!$M$1:$W$47</definedName>
    <definedName name="_xlnm.Print_Area" localSheetId="20">'2.20 (b)'!$A$1:$H$95</definedName>
    <definedName name="_xlnm.Print_Area" localSheetId="19">'2.20(a)'!$A$1:$H$47</definedName>
    <definedName name="_xlnm.Print_Area" localSheetId="21">'2.20(c)'!$A$1:$H$47</definedName>
    <definedName name="_xlnm.Print_Area" localSheetId="22">'2.21'!$BP$1:$CJ$46</definedName>
    <definedName name="_xlnm.Print_Area" localSheetId="23">'2.22'!$A$1:$G$34</definedName>
    <definedName name="_xlnm.Print_Area" localSheetId="24">'2.23'!$A$1:$K$84</definedName>
    <definedName name="_xlnm.Print_Area" localSheetId="25">'2.24'!$Q$1:$Y$42</definedName>
    <definedName name="_xlnm.Print_Area" localSheetId="26">'2.25'!$A$1:$D$47</definedName>
    <definedName name="_xlnm.Print_Area" localSheetId="27">'2.26a'!$A$1:$L$43</definedName>
    <definedName name="_xlnm.Print_Area" localSheetId="28">'2.26b'!$A$1:$L$43</definedName>
    <definedName name="_xlnm.Print_Area" localSheetId="29">'2.26c'!$A$1:$L$43</definedName>
    <definedName name="_xlnm.Print_Area" localSheetId="30">'2.26d'!$A$1:$L$43</definedName>
    <definedName name="_xlnm.Print_Area" localSheetId="31">'2.27a'!$A$1:$O$37</definedName>
    <definedName name="_xlnm.Print_Area" localSheetId="32">'2.27b'!$A$1:$W$29</definedName>
    <definedName name="_xlnm.Print_Area" localSheetId="33">'2.28'!$A$1:$W$18</definedName>
    <definedName name="_xlnm.Print_Area" localSheetId="34">'2.29'!$AQ$1:$BA$39</definedName>
    <definedName name="_xlnm.Print_Area" localSheetId="35">'2.30'!$A$1:$U$52</definedName>
    <definedName name="_xlnm.Print_Area" localSheetId="36">'2.31'!$A$1:$Y$36</definedName>
    <definedName name="_xlnm.Print_Area" localSheetId="37">'2.32'!$A$1:$Y$45</definedName>
    <definedName name="_xlnm.Print_Area" localSheetId="38">'2.33(a)'!$A$1:$N$52</definedName>
    <definedName name="_xlnm.Print_Area" localSheetId="39">'2.33(b)'!$S$1:$AR$57</definedName>
    <definedName name="_xlnm.Print_Area" localSheetId="40">'2.34a'!$A$1:$K$53</definedName>
    <definedName name="_xlnm.Print_Area" localSheetId="41">'2.34b'!$A$1:$B$30</definedName>
    <definedName name="_xlnm.Print_Area" localSheetId="42">'2.34c'!$A$1:$K$53</definedName>
    <definedName name="_xlnm.Print_Area" localSheetId="43">'2.35a'!$A$1:$U$58</definedName>
    <definedName name="_xlnm.Print_Area" localSheetId="44">'2.35b'!$A$1:$U$57</definedName>
    <definedName name="_xlnm.Print_Area" localSheetId="45">'2.36'!$A$1:$Q$26</definedName>
    <definedName name="_xlnm.Print_Area" localSheetId="46">'2.37'!$AE$1:$AS$46</definedName>
    <definedName name="_xlnm.Print_Area" localSheetId="47">'2.38ab'!$A$1:$G$33</definedName>
    <definedName name="_xlnm.Print_Area" localSheetId="48">'2.39a'!$A$1:$E$33</definedName>
    <definedName name="_xlnm.Print_Area" localSheetId="49">'2.39b'!$A$1:$T$44</definedName>
    <definedName name="_xlnm.Print_Area" localSheetId="50">'2.40a'!$C$1:$H$13</definedName>
    <definedName name="_xlnm.Print_Area" localSheetId="51">'2.40b'!$A$1:$H$31</definedName>
    <definedName name="_xlnm.Print_Area" localSheetId="52">'2.40c'!$A$1:$L$19</definedName>
    <definedName name="_xlnm.Print_Area" localSheetId="53">'2.41'!$Y$1:$AJ$24</definedName>
    <definedName name="_xlnm.Print_Area" localSheetId="54">'2.42a'!$A$1:$AD$38</definedName>
    <definedName name="_xlnm.Print_Area" localSheetId="55">'2.42b'!$Q$1:$AG$53</definedName>
    <definedName name="_xlnm.Print_Area" localSheetId="56">'2.43a'!$S$1:$AA$21</definedName>
    <definedName name="_xlnm.Print_Area" localSheetId="57">'2.43b'!$O$1:$U$40</definedName>
    <definedName name="_xlnm.Print_Area" localSheetId="59">'2.44'!$A$1:$F$31</definedName>
    <definedName name="_xlnm.Print_Area" localSheetId="60">'2.57'!$A$1:$D$28</definedName>
    <definedName name="_xlnm.Print_Area" localSheetId="58">'2.61 '!$A$1:$O$44</definedName>
    <definedName name="_xlnm.Print_Titles" localSheetId="2">' 2.03'!$1:$4</definedName>
    <definedName name="_xlnm.Print_Titles" localSheetId="0">'2.01'!$1:$5</definedName>
    <definedName name="_xlnm.Print_Titles" localSheetId="1">'2.02'!$1:$3</definedName>
    <definedName name="_xlnm.Print_Titles" localSheetId="3">'2.04'!$1:$4</definedName>
    <definedName name="_xlnm.Print_Titles" localSheetId="4">'2.05'!$1:$3</definedName>
    <definedName name="_xlnm.Print_Titles" localSheetId="5">'2.06'!$1:$4</definedName>
    <definedName name="_xlnm.Print_Titles" localSheetId="6">'2.07'!$1:$4</definedName>
    <definedName name="_xlnm.Print_Titles" localSheetId="7">'2.08'!$1:$3</definedName>
    <definedName name="_xlnm.Print_Titles" localSheetId="8">'2.09'!$1:$3</definedName>
    <definedName name="_xlnm.Print_Titles" localSheetId="9">'2.10'!$1:$3</definedName>
    <definedName name="_xlnm.Print_Titles" localSheetId="10">'2.11'!$1:$2</definedName>
    <definedName name="_xlnm.Print_Titles" localSheetId="11">'2.12'!$1:$4</definedName>
    <definedName name="_xlnm.Print_Titles" localSheetId="12">'2.13 '!$1:$4</definedName>
    <definedName name="_xlnm.Print_Titles" localSheetId="13">'2.14'!$1:$4</definedName>
    <definedName name="_xlnm.Print_Titles" localSheetId="14">'2.15 '!$1:$4</definedName>
    <definedName name="_xlnm.Print_Titles" localSheetId="17">'2.18'!$1:$6</definedName>
    <definedName name="_xlnm.Print_Titles" localSheetId="18">'2.19'!$2:$4</definedName>
    <definedName name="_xlnm.Print_Titles" localSheetId="32">'2.27b'!$1:$4</definedName>
    <definedName name="_xlnm.Print_Titles" localSheetId="37">'2.32'!$1:$5</definedName>
    <definedName name="_xlnm.Print_Titles" localSheetId="38">'2.33(a)'!$1:$5</definedName>
    <definedName name="_xlnm.Print_Titles" localSheetId="39">'2.33(b)'!$1:$5</definedName>
    <definedName name="_xlnm.Print_Titles" localSheetId="46">'2.37'!$1:$5</definedName>
    <definedName name="_xlnm.Print_Titles" localSheetId="54">'2.42a'!$1:$7</definedName>
    <definedName name="_xlnm.Print_Titles" localSheetId="55">'2.42b'!$1:$6</definedName>
    <definedName name="_xlnm.Print_Titles" localSheetId="56">'2.43a'!$1:$5</definedName>
    <definedName name="_xlnm.Print_Titles" localSheetId="57">'2.43b'!$1:$5</definedName>
    <definedName name="_xlnm.Print_Titles" localSheetId="58">'2.61 '!$A:$B,'2.61 '!$1:$5</definedName>
    <definedName name="rtrtt"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rtrtt"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rtrtt"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rtrtt"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rtrtt"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rtrtt"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rtrtt"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rtrtt"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rtrtt"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Coal._.Questionnaire." localSheetId="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0"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0"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9"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7"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s>
  <calcPr calcId="191029"/>
</workbook>
</file>

<file path=xl/calcChain.xml><?xml version="1.0" encoding="utf-8"?>
<calcChain xmlns="http://schemas.openxmlformats.org/spreadsheetml/2006/main">
  <c r="W39" i="146" l="1"/>
  <c r="O39" i="146"/>
  <c r="N39" i="146"/>
  <c r="L39" i="146"/>
  <c r="W38" i="146"/>
  <c r="M38" i="146"/>
  <c r="F38" i="146"/>
  <c r="E38" i="146"/>
  <c r="G38" i="146" s="1"/>
  <c r="D38" i="146"/>
  <c r="C38" i="146"/>
  <c r="W37" i="146"/>
  <c r="M37" i="146"/>
  <c r="E37" i="146"/>
  <c r="G37" i="146" s="1"/>
  <c r="W36" i="146"/>
  <c r="M36" i="146"/>
  <c r="E36" i="146"/>
  <c r="G36" i="146" s="1"/>
  <c r="W35" i="146"/>
  <c r="M35" i="146"/>
  <c r="E35" i="146"/>
  <c r="G35" i="146" s="1"/>
  <c r="M34" i="146"/>
  <c r="G34" i="146"/>
  <c r="E34" i="146"/>
  <c r="W33" i="146"/>
  <c r="M33" i="146"/>
  <c r="G33" i="146"/>
  <c r="E33" i="146"/>
  <c r="W32" i="146"/>
  <c r="M32" i="146"/>
  <c r="G32" i="146"/>
  <c r="E32" i="146"/>
  <c r="W31" i="146"/>
  <c r="M31" i="146"/>
  <c r="G31" i="146"/>
  <c r="E31" i="146"/>
  <c r="W30" i="146"/>
  <c r="M30" i="146"/>
  <c r="G30" i="146"/>
  <c r="E30" i="146"/>
  <c r="W29" i="146"/>
  <c r="M29" i="146"/>
  <c r="G29" i="146"/>
  <c r="E29" i="146"/>
  <c r="W28" i="146"/>
  <c r="M28" i="146"/>
  <c r="G28" i="146"/>
  <c r="E28" i="146"/>
  <c r="W27" i="146"/>
  <c r="M27" i="146"/>
  <c r="G27" i="146"/>
  <c r="E27" i="146"/>
  <c r="W26" i="146"/>
  <c r="M26" i="146"/>
  <c r="G26" i="146"/>
  <c r="E26" i="146"/>
  <c r="W25" i="146"/>
  <c r="M25" i="146"/>
  <c r="K25" i="146"/>
  <c r="K39" i="146" s="1"/>
  <c r="E25" i="146"/>
  <c r="G25" i="146" s="1"/>
  <c r="W24" i="146"/>
  <c r="M24" i="146"/>
  <c r="E24" i="146"/>
  <c r="G24" i="146" s="1"/>
  <c r="W23" i="146"/>
  <c r="M23" i="146"/>
  <c r="E23" i="146"/>
  <c r="G23" i="146" s="1"/>
  <c r="W22" i="146"/>
  <c r="M22" i="146"/>
  <c r="G22" i="146"/>
  <c r="E22" i="146"/>
  <c r="W21" i="146"/>
  <c r="M21" i="146"/>
  <c r="E21" i="146"/>
  <c r="G21" i="146" s="1"/>
  <c r="W20" i="146"/>
  <c r="M20" i="146"/>
  <c r="E20" i="146"/>
  <c r="G20" i="146" s="1"/>
  <c r="W19" i="146"/>
  <c r="M19" i="146"/>
  <c r="E19" i="146"/>
  <c r="G19" i="146" s="1"/>
  <c r="W18" i="146"/>
  <c r="M18" i="146"/>
  <c r="G18" i="146"/>
  <c r="E18" i="146"/>
  <c r="W17" i="146"/>
  <c r="M17" i="146"/>
  <c r="E17" i="146"/>
  <c r="G17" i="146" s="1"/>
  <c r="W16" i="146"/>
  <c r="M16" i="146"/>
  <c r="E16" i="146"/>
  <c r="G16" i="146" s="1"/>
  <c r="W15" i="146"/>
  <c r="M15" i="146"/>
  <c r="E15" i="146"/>
  <c r="G15" i="146" s="1"/>
  <c r="W14" i="146"/>
  <c r="M14" i="146"/>
  <c r="G14" i="146"/>
  <c r="E14" i="146"/>
  <c r="W13" i="146"/>
  <c r="M13" i="146"/>
  <c r="E13" i="146"/>
  <c r="G13" i="146" s="1"/>
  <c r="W12" i="146"/>
  <c r="M12" i="146"/>
  <c r="E12" i="146"/>
  <c r="G12" i="146" s="1"/>
  <c r="W11" i="146"/>
  <c r="M11" i="146"/>
  <c r="E11" i="146"/>
  <c r="G11" i="146" s="1"/>
  <c r="W10" i="146"/>
  <c r="M10" i="146"/>
  <c r="G10" i="146"/>
  <c r="E10" i="146"/>
  <c r="W9" i="146"/>
  <c r="M9" i="146"/>
  <c r="E9" i="146"/>
  <c r="G9" i="146" s="1"/>
  <c r="W8" i="146"/>
  <c r="M8" i="146"/>
  <c r="G8" i="146"/>
  <c r="E8" i="146"/>
  <c r="W7" i="146"/>
  <c r="Q7" i="146"/>
  <c r="Q8" i="146" s="1"/>
  <c r="Q9" i="146" s="1"/>
  <c r="Q10" i="146" s="1"/>
  <c r="Q11" i="146" s="1"/>
  <c r="Q12" i="146" s="1"/>
  <c r="Q13" i="146" s="1"/>
  <c r="Q14" i="146" s="1"/>
  <c r="Q15" i="146" s="1"/>
  <c r="Q16" i="146" s="1"/>
  <c r="Q17" i="146" s="1"/>
  <c r="Q18" i="146" s="1"/>
  <c r="Q19" i="146" s="1"/>
  <c r="Q20" i="146" s="1"/>
  <c r="Q21" i="146" s="1"/>
  <c r="Q22" i="146" s="1"/>
  <c r="Q23" i="146" s="1"/>
  <c r="Q24" i="146" s="1"/>
  <c r="Q25" i="146" s="1"/>
  <c r="Q26" i="146" s="1"/>
  <c r="Q27" i="146" s="1"/>
  <c r="Q28" i="146" s="1"/>
  <c r="Q29" i="146" s="1"/>
  <c r="Q30" i="146" s="1"/>
  <c r="Q31" i="146" s="1"/>
  <c r="Q32" i="146" s="1"/>
  <c r="Q33" i="146" s="1"/>
  <c r="Q34" i="146" s="1"/>
  <c r="Q35" i="146" s="1"/>
  <c r="Q36" i="146" s="1"/>
  <c r="Q37" i="146" s="1"/>
  <c r="Q38" i="146" s="1"/>
  <c r="M7" i="146"/>
  <c r="E7" i="146"/>
  <c r="G7" i="146" s="1"/>
  <c r="W6" i="146"/>
  <c r="Q6" i="146"/>
  <c r="M6" i="146"/>
  <c r="I6" i="146"/>
  <c r="I7" i="146" s="1"/>
  <c r="I8" i="146" s="1"/>
  <c r="I9" i="146" s="1"/>
  <c r="I10" i="146" s="1"/>
  <c r="I11" i="146" s="1"/>
  <c r="I12" i="146" s="1"/>
  <c r="I13" i="146" s="1"/>
  <c r="I14" i="146" s="1"/>
  <c r="I15" i="146" s="1"/>
  <c r="I16" i="146" s="1"/>
  <c r="I17" i="146" s="1"/>
  <c r="I18" i="146" s="1"/>
  <c r="I19" i="146" s="1"/>
  <c r="I20" i="146" s="1"/>
  <c r="I21" i="146" s="1"/>
  <c r="I22" i="146" s="1"/>
  <c r="I23" i="146" s="1"/>
  <c r="I24" i="146" s="1"/>
  <c r="I25" i="146" s="1"/>
  <c r="I26" i="146" s="1"/>
  <c r="I27" i="146" s="1"/>
  <c r="I28" i="146" s="1"/>
  <c r="I29" i="146" s="1"/>
  <c r="I30" i="146" s="1"/>
  <c r="I31" i="146" s="1"/>
  <c r="I32" i="146" s="1"/>
  <c r="I33" i="146" s="1"/>
  <c r="I34" i="146" s="1"/>
  <c r="I35" i="146" s="1"/>
  <c r="I36" i="146" s="1"/>
  <c r="I37" i="146" s="1"/>
  <c r="I38" i="146" s="1"/>
  <c r="G6" i="146"/>
  <c r="E6" i="146"/>
  <c r="W5" i="146"/>
  <c r="M5" i="146"/>
  <c r="M39" i="146" s="1"/>
  <c r="G5" i="146"/>
  <c r="E5" i="146"/>
  <c r="CI13" i="109" l="1"/>
  <c r="CI14" i="109"/>
  <c r="CI15" i="109"/>
  <c r="CI16" i="109"/>
  <c r="CI17" i="109"/>
  <c r="CI18" i="109"/>
  <c r="CI19" i="109"/>
  <c r="CI20" i="109"/>
  <c r="CI21" i="109"/>
  <c r="CI22" i="109"/>
  <c r="CI23" i="109"/>
  <c r="CI24" i="109"/>
  <c r="CI25" i="109"/>
  <c r="CI26" i="109"/>
  <c r="CI27" i="109"/>
  <c r="CI28" i="109"/>
  <c r="CI29" i="109"/>
  <c r="CI30" i="109"/>
  <c r="CI31" i="109"/>
  <c r="CI32" i="109"/>
  <c r="CI33" i="109"/>
  <c r="CI34" i="109"/>
  <c r="CI35" i="109"/>
  <c r="CI36" i="109"/>
  <c r="CI37" i="109"/>
  <c r="CI38" i="109"/>
  <c r="CI39" i="109"/>
  <c r="CI40" i="109"/>
  <c r="CI41" i="109"/>
  <c r="CI42" i="109"/>
  <c r="CI8" i="109"/>
  <c r="CI9" i="109"/>
  <c r="CI10" i="109"/>
  <c r="CI11" i="109"/>
  <c r="CI12" i="109"/>
  <c r="CI7" i="109"/>
  <c r="CH36" i="109"/>
  <c r="CH37" i="109"/>
  <c r="CH38" i="109"/>
  <c r="CH39" i="109"/>
  <c r="CH40" i="109"/>
  <c r="CH41" i="109"/>
  <c r="CH42" i="109"/>
  <c r="CH16" i="109"/>
  <c r="CH17" i="109"/>
  <c r="CH18" i="109"/>
  <c r="CH19" i="109"/>
  <c r="CH20" i="109"/>
  <c r="CH21" i="109"/>
  <c r="CH22" i="109"/>
  <c r="CH23" i="109"/>
  <c r="CH24" i="109"/>
  <c r="CH25" i="109"/>
  <c r="CH26" i="109"/>
  <c r="CH27" i="109"/>
  <c r="CH28" i="109"/>
  <c r="CH29" i="109"/>
  <c r="CH30" i="109"/>
  <c r="CH31" i="109"/>
  <c r="CH32" i="109"/>
  <c r="CH33" i="109"/>
  <c r="CH34" i="109"/>
  <c r="CH35" i="109"/>
  <c r="CH11" i="109"/>
  <c r="CH12" i="109"/>
  <c r="CH13" i="109"/>
  <c r="CH14" i="109"/>
  <c r="CH15" i="109"/>
  <c r="CH8" i="109"/>
  <c r="CH9" i="109"/>
  <c r="CH10" i="109"/>
  <c r="CH7" i="109"/>
  <c r="CE11" i="109"/>
  <c r="CE12" i="109"/>
  <c r="CE13" i="109"/>
  <c r="CE14" i="109"/>
  <c r="CE15" i="109"/>
  <c r="CE16" i="109"/>
  <c r="CE17" i="109"/>
  <c r="CE18" i="109"/>
  <c r="CE19" i="109"/>
  <c r="CE20" i="109"/>
  <c r="CE21" i="109"/>
  <c r="CE22" i="109"/>
  <c r="CE23" i="109"/>
  <c r="CE24" i="109"/>
  <c r="CE25" i="109"/>
  <c r="CE26" i="109"/>
  <c r="CE27" i="109"/>
  <c r="CE28" i="109"/>
  <c r="CE29" i="109"/>
  <c r="CE30" i="109"/>
  <c r="CE31" i="109"/>
  <c r="CE32" i="109"/>
  <c r="CE33" i="109"/>
  <c r="CE34" i="109"/>
  <c r="CE35" i="109"/>
  <c r="CE36" i="109"/>
  <c r="CE37" i="109"/>
  <c r="CE38" i="109"/>
  <c r="CE39" i="109"/>
  <c r="CE40" i="109"/>
  <c r="CE41" i="109"/>
  <c r="CE42" i="109"/>
  <c r="CE8" i="109"/>
  <c r="CE9" i="109"/>
  <c r="CE10" i="109"/>
  <c r="CE7" i="109"/>
  <c r="BY37" i="109"/>
  <c r="BY38" i="109"/>
  <c r="BY39" i="109"/>
  <c r="BY40" i="109"/>
  <c r="BY41" i="109"/>
  <c r="BY42" i="109"/>
  <c r="BY23" i="109"/>
  <c r="BY24" i="109"/>
  <c r="BY25" i="109"/>
  <c r="BY26" i="109"/>
  <c r="BY27" i="109"/>
  <c r="BY28" i="109"/>
  <c r="BY29" i="109"/>
  <c r="BY30" i="109"/>
  <c r="BY31" i="109"/>
  <c r="BY32" i="109"/>
  <c r="BY33" i="109"/>
  <c r="BY34" i="109"/>
  <c r="BY35" i="109"/>
  <c r="BY36" i="109"/>
  <c r="BY11" i="109"/>
  <c r="BY12" i="109"/>
  <c r="BY13" i="109"/>
  <c r="BY14" i="109"/>
  <c r="BY15" i="109"/>
  <c r="BY16" i="109"/>
  <c r="BY17" i="109"/>
  <c r="BY18" i="109"/>
  <c r="BY19" i="109"/>
  <c r="BY20" i="109"/>
  <c r="BY21" i="109"/>
  <c r="BY22" i="109"/>
  <c r="BY8" i="109"/>
  <c r="BY9" i="109"/>
  <c r="BY10" i="109"/>
  <c r="BY7" i="109"/>
  <c r="BU36" i="109"/>
  <c r="BU37" i="109"/>
  <c r="BU38" i="109"/>
  <c r="BU39" i="109"/>
  <c r="BU40" i="109"/>
  <c r="BU41" i="109"/>
  <c r="BU42" i="109"/>
  <c r="BU29" i="109"/>
  <c r="BU30" i="109"/>
  <c r="BU31" i="109"/>
  <c r="BU32" i="109"/>
  <c r="BU33" i="109"/>
  <c r="BU34" i="109"/>
  <c r="BU35" i="109"/>
  <c r="BU20" i="109"/>
  <c r="BU21" i="109"/>
  <c r="BU22" i="109"/>
  <c r="BU23" i="109"/>
  <c r="BU24" i="109"/>
  <c r="BU25" i="109"/>
  <c r="BU26" i="109"/>
  <c r="BU27" i="109"/>
  <c r="BU28" i="109"/>
  <c r="BU15" i="109"/>
  <c r="BU16" i="109"/>
  <c r="BU17" i="109"/>
  <c r="BU18" i="109"/>
  <c r="BU19" i="109"/>
  <c r="BU11" i="109"/>
  <c r="BU12" i="109"/>
  <c r="BU13" i="109"/>
  <c r="BU14" i="109"/>
  <c r="BU8" i="109"/>
  <c r="BU9" i="109"/>
  <c r="BU10" i="109"/>
  <c r="BU7" i="109"/>
  <c r="G5" i="145"/>
  <c r="G6" i="145"/>
  <c r="G7" i="145"/>
  <c r="G8" i="145"/>
  <c r="G9" i="145"/>
  <c r="G10" i="145"/>
  <c r="G11" i="145"/>
  <c r="G12" i="145"/>
  <c r="G13" i="145"/>
  <c r="G14" i="145"/>
  <c r="G15" i="145"/>
  <c r="G16" i="145"/>
  <c r="G17" i="145"/>
  <c r="G18" i="145"/>
  <c r="G19" i="145"/>
  <c r="G20" i="145"/>
  <c r="G21" i="145"/>
  <c r="G22" i="145"/>
  <c r="G23" i="145"/>
  <c r="G24" i="145"/>
  <c r="G25" i="145"/>
  <c r="G26" i="145"/>
  <c r="G27" i="145"/>
  <c r="G28" i="145"/>
  <c r="G29" i="145"/>
  <c r="G30" i="145"/>
  <c r="A31" i="145"/>
  <c r="G31" i="145"/>
  <c r="A32" i="145"/>
  <c r="A33" i="145"/>
  <c r="G33" i="145"/>
  <c r="H5" i="144"/>
  <c r="K5" i="144" s="1"/>
  <c r="H6" i="144"/>
  <c r="K6" i="144" s="1"/>
  <c r="H7" i="144"/>
  <c r="K7" i="144"/>
  <c r="H8" i="144"/>
  <c r="K8" i="144" s="1"/>
  <c r="H9" i="144"/>
  <c r="K9" i="144" s="1"/>
  <c r="H10" i="144"/>
  <c r="K10" i="144"/>
  <c r="H11" i="144"/>
  <c r="K11" i="144"/>
  <c r="H12" i="144"/>
  <c r="K12" i="144" s="1"/>
  <c r="H13" i="144"/>
  <c r="K13" i="144" s="1"/>
  <c r="H14" i="144"/>
  <c r="K14" i="144" s="1"/>
  <c r="H15" i="144"/>
  <c r="H16" i="144"/>
  <c r="K16" i="144"/>
  <c r="H17" i="144"/>
  <c r="H18" i="144"/>
  <c r="K18" i="144" s="1"/>
  <c r="H19" i="144"/>
  <c r="K19" i="144" s="1"/>
  <c r="H20" i="144"/>
  <c r="K20" i="144" s="1"/>
  <c r="H21" i="144"/>
  <c r="K21" i="144" s="1"/>
  <c r="H22" i="144"/>
  <c r="K22" i="144" s="1"/>
  <c r="H23" i="144"/>
  <c r="K23" i="144" s="1"/>
  <c r="H24" i="144"/>
  <c r="K24" i="144"/>
  <c r="H25" i="144"/>
  <c r="H26" i="144"/>
  <c r="H28" i="144"/>
  <c r="H29" i="144"/>
  <c r="K29" i="144" s="1"/>
  <c r="H30" i="144"/>
  <c r="K30" i="144" s="1"/>
  <c r="H31" i="144"/>
  <c r="K31" i="144" s="1"/>
  <c r="H32" i="144"/>
  <c r="K32" i="144" s="1"/>
  <c r="H33" i="144"/>
  <c r="K33" i="144" s="1"/>
  <c r="H34" i="144"/>
  <c r="K34" i="144" s="1"/>
  <c r="H35" i="144"/>
  <c r="K35" i="144"/>
  <c r="H36" i="144"/>
  <c r="K36" i="144" s="1"/>
  <c r="H37" i="144"/>
  <c r="K37" i="144" s="1"/>
  <c r="H38" i="144"/>
  <c r="K38" i="144" s="1"/>
  <c r="C5" i="143"/>
  <c r="D5" i="143"/>
  <c r="E5" i="143"/>
  <c r="G5" i="143"/>
  <c r="H5" i="143"/>
  <c r="I5" i="143"/>
  <c r="N5" i="143"/>
  <c r="O5" i="143"/>
  <c r="O61" i="143" s="1"/>
  <c r="P5" i="143"/>
  <c r="Q5" i="143"/>
  <c r="S5" i="143"/>
  <c r="T5" i="143"/>
  <c r="U5" i="143"/>
  <c r="F6" i="143"/>
  <c r="J6" i="143" s="1"/>
  <c r="R6" i="143"/>
  <c r="F7" i="143"/>
  <c r="J7" i="143"/>
  <c r="R7" i="143"/>
  <c r="V7" i="143" s="1"/>
  <c r="F8" i="143"/>
  <c r="J8" i="143" s="1"/>
  <c r="R8" i="143"/>
  <c r="V8" i="143" s="1"/>
  <c r="F9" i="143"/>
  <c r="J9" i="143" s="1"/>
  <c r="R9" i="143"/>
  <c r="V9" i="143" s="1"/>
  <c r="F10" i="143"/>
  <c r="J10" i="143" s="1"/>
  <c r="R10" i="143"/>
  <c r="V10" i="143" s="1"/>
  <c r="F11" i="143"/>
  <c r="J11" i="143"/>
  <c r="R11" i="143"/>
  <c r="V11" i="143" s="1"/>
  <c r="J12" i="143"/>
  <c r="V12" i="143"/>
  <c r="F13" i="143"/>
  <c r="J13" i="143" s="1"/>
  <c r="R13" i="143"/>
  <c r="V13" i="143"/>
  <c r="F14" i="143"/>
  <c r="J14" i="143"/>
  <c r="R14" i="143"/>
  <c r="V14" i="143" s="1"/>
  <c r="F15" i="143"/>
  <c r="J15" i="143" s="1"/>
  <c r="V15" i="143"/>
  <c r="F16" i="143"/>
  <c r="J16" i="143" s="1"/>
  <c r="V16" i="143"/>
  <c r="C17" i="143"/>
  <c r="D17" i="143"/>
  <c r="E17" i="143"/>
  <c r="G17" i="143"/>
  <c r="H17" i="143"/>
  <c r="H61" i="143" s="1"/>
  <c r="I17" i="143"/>
  <c r="N17" i="143"/>
  <c r="O17" i="143"/>
  <c r="P17" i="143"/>
  <c r="Q17" i="143"/>
  <c r="S17" i="143"/>
  <c r="T17" i="143"/>
  <c r="U17" i="143"/>
  <c r="F18" i="143"/>
  <c r="J18" i="143" s="1"/>
  <c r="V18" i="143"/>
  <c r="F19" i="143"/>
  <c r="J19" i="143"/>
  <c r="R19" i="143"/>
  <c r="V19" i="143"/>
  <c r="J20" i="143"/>
  <c r="V20" i="143"/>
  <c r="J21" i="143"/>
  <c r="V21" i="143"/>
  <c r="J22" i="143"/>
  <c r="V22" i="143"/>
  <c r="F23" i="143"/>
  <c r="J23" i="143"/>
  <c r="R23" i="143"/>
  <c r="V23" i="143" s="1"/>
  <c r="F24" i="143"/>
  <c r="J24" i="143" s="1"/>
  <c r="R24" i="143"/>
  <c r="V24" i="143"/>
  <c r="F25" i="143"/>
  <c r="J25" i="143" s="1"/>
  <c r="V25" i="143"/>
  <c r="F26" i="143"/>
  <c r="J26" i="143" s="1"/>
  <c r="R26" i="143"/>
  <c r="R17" i="143" s="1"/>
  <c r="V26" i="143"/>
  <c r="C27" i="143"/>
  <c r="D27" i="143"/>
  <c r="E27" i="143"/>
  <c r="G27" i="143"/>
  <c r="G61" i="143" s="1"/>
  <c r="H27" i="143"/>
  <c r="I27" i="143"/>
  <c r="N27" i="143"/>
  <c r="O27" i="143"/>
  <c r="P27" i="143"/>
  <c r="Q27" i="143"/>
  <c r="S27" i="143"/>
  <c r="S61" i="143" s="1"/>
  <c r="T27" i="143"/>
  <c r="U27" i="143"/>
  <c r="J28" i="143"/>
  <c r="V28" i="143"/>
  <c r="F29" i="143"/>
  <c r="J29" i="143" s="1"/>
  <c r="R29" i="143"/>
  <c r="V29" i="143" s="1"/>
  <c r="F30" i="143"/>
  <c r="J30" i="143"/>
  <c r="R30" i="143"/>
  <c r="V30" i="143" s="1"/>
  <c r="F31" i="143"/>
  <c r="J31" i="143" s="1"/>
  <c r="R31" i="143"/>
  <c r="V31" i="143" s="1"/>
  <c r="F32" i="143"/>
  <c r="J32" i="143"/>
  <c r="R32" i="143"/>
  <c r="V32" i="143"/>
  <c r="F33" i="143"/>
  <c r="J33" i="143" s="1"/>
  <c r="R33" i="143"/>
  <c r="V33" i="143" s="1"/>
  <c r="F34" i="143"/>
  <c r="J34" i="143" s="1"/>
  <c r="R34" i="143"/>
  <c r="V34" i="143" s="1"/>
  <c r="F35" i="143"/>
  <c r="V35" i="143"/>
  <c r="F36" i="143"/>
  <c r="J36" i="143" s="1"/>
  <c r="V36" i="143"/>
  <c r="C37" i="143"/>
  <c r="D37" i="143"/>
  <c r="E37" i="143"/>
  <c r="G37" i="143"/>
  <c r="H37" i="143"/>
  <c r="I37" i="143"/>
  <c r="N37" i="143"/>
  <c r="O37" i="143"/>
  <c r="P37" i="143"/>
  <c r="Q37" i="143"/>
  <c r="S37" i="143"/>
  <c r="T37" i="143"/>
  <c r="U37" i="143"/>
  <c r="F38" i="143"/>
  <c r="J38" i="143" s="1"/>
  <c r="R38" i="143"/>
  <c r="V38" i="143" s="1"/>
  <c r="F39" i="143"/>
  <c r="J39" i="143" s="1"/>
  <c r="R39" i="143"/>
  <c r="V39" i="143" s="1"/>
  <c r="F40" i="143"/>
  <c r="J40" i="143" s="1"/>
  <c r="R40" i="143"/>
  <c r="V40" i="143" s="1"/>
  <c r="F41" i="143"/>
  <c r="J41" i="143" s="1"/>
  <c r="R41" i="143"/>
  <c r="V41" i="143" s="1"/>
  <c r="J42" i="143"/>
  <c r="V42" i="143"/>
  <c r="F43" i="143"/>
  <c r="J43" i="143" s="1"/>
  <c r="R43" i="143"/>
  <c r="V43" i="143" s="1"/>
  <c r="F44" i="143"/>
  <c r="J44" i="143" s="1"/>
  <c r="R44" i="143"/>
  <c r="V44" i="143" s="1"/>
  <c r="V37" i="143" s="1"/>
  <c r="F45" i="143"/>
  <c r="J45" i="143" s="1"/>
  <c r="R45" i="143"/>
  <c r="V45" i="143" s="1"/>
  <c r="C46" i="143"/>
  <c r="D46" i="143"/>
  <c r="E46" i="143"/>
  <c r="F46" i="143"/>
  <c r="G46" i="143"/>
  <c r="H46" i="143"/>
  <c r="I46" i="143"/>
  <c r="N46" i="143"/>
  <c r="O46" i="143"/>
  <c r="P46" i="143"/>
  <c r="Q46" i="143"/>
  <c r="S46" i="143"/>
  <c r="T46" i="143"/>
  <c r="U46" i="143"/>
  <c r="F47" i="143"/>
  <c r="J47" i="143"/>
  <c r="R47" i="143"/>
  <c r="V47" i="143" s="1"/>
  <c r="F48" i="143"/>
  <c r="J48" i="143" s="1"/>
  <c r="R48" i="143"/>
  <c r="V48" i="143"/>
  <c r="F49" i="143"/>
  <c r="J49" i="143"/>
  <c r="R49" i="143"/>
  <c r="V49" i="143" s="1"/>
  <c r="F50" i="143"/>
  <c r="J50" i="143"/>
  <c r="R50" i="143"/>
  <c r="V50" i="143"/>
  <c r="F51" i="143"/>
  <c r="J51" i="143"/>
  <c r="R51" i="143"/>
  <c r="V51" i="143" s="1"/>
  <c r="F52" i="143"/>
  <c r="J52" i="143" s="1"/>
  <c r="R52" i="143"/>
  <c r="V52" i="143"/>
  <c r="F53" i="143"/>
  <c r="J53" i="143"/>
  <c r="R53" i="143"/>
  <c r="V53" i="143" s="1"/>
  <c r="F54" i="143"/>
  <c r="J54" i="143"/>
  <c r="R54" i="143"/>
  <c r="V54" i="143"/>
  <c r="F55" i="143"/>
  <c r="J55" i="143" s="1"/>
  <c r="R55" i="143"/>
  <c r="C56" i="143"/>
  <c r="D56" i="143"/>
  <c r="E56" i="143"/>
  <c r="G56" i="143"/>
  <c r="H56" i="143"/>
  <c r="I56" i="143"/>
  <c r="I61" i="143" s="1"/>
  <c r="N56" i="143"/>
  <c r="O56" i="143"/>
  <c r="P56" i="143"/>
  <c r="Q56" i="143"/>
  <c r="S56" i="143"/>
  <c r="T56" i="143"/>
  <c r="U56" i="143"/>
  <c r="F57" i="143"/>
  <c r="J57" i="143" s="1"/>
  <c r="R57" i="143"/>
  <c r="V57" i="143" s="1"/>
  <c r="F58" i="143"/>
  <c r="J58" i="143"/>
  <c r="R58" i="143"/>
  <c r="V58" i="143" s="1"/>
  <c r="F59" i="143"/>
  <c r="J59" i="143" s="1"/>
  <c r="R59" i="143"/>
  <c r="F60" i="143"/>
  <c r="J60" i="143" s="1"/>
  <c r="R60" i="143"/>
  <c r="V60" i="143" s="1"/>
  <c r="Q61" i="143" l="1"/>
  <c r="T61" i="143"/>
  <c r="R46" i="143"/>
  <c r="R37" i="143"/>
  <c r="F17" i="143"/>
  <c r="R5" i="143"/>
  <c r="J46" i="143"/>
  <c r="C61" i="143"/>
  <c r="U61" i="143"/>
  <c r="N61" i="143"/>
  <c r="D61" i="143"/>
  <c r="E61" i="143"/>
  <c r="F56" i="143"/>
  <c r="R56" i="143"/>
  <c r="V17" i="143"/>
  <c r="P61" i="143"/>
  <c r="F27" i="143"/>
  <c r="R27" i="143"/>
  <c r="J5" i="143"/>
  <c r="J17" i="143"/>
  <c r="V46" i="143"/>
  <c r="J37" i="143"/>
  <c r="R61" i="143"/>
  <c r="J56" i="143"/>
  <c r="V27" i="143"/>
  <c r="F5" i="143"/>
  <c r="V55" i="143"/>
  <c r="F37" i="143"/>
  <c r="J35" i="143"/>
  <c r="J27" i="143" s="1"/>
  <c r="V59" i="143"/>
  <c r="V56" i="143" s="1"/>
  <c r="V6" i="143"/>
  <c r="V5" i="143" s="1"/>
  <c r="V61" i="143" l="1"/>
  <c r="F61" i="143"/>
  <c r="J61" i="143" s="1"/>
  <c r="E57" i="137"/>
  <c r="F88" i="136"/>
  <c r="E88" i="136"/>
  <c r="D88" i="136"/>
  <c r="D52" i="135" l="1"/>
  <c r="F52" i="135"/>
  <c r="H52" i="135"/>
  <c r="J52" i="135"/>
  <c r="P52" i="135"/>
  <c r="P54" i="135" s="1"/>
  <c r="R52" i="135"/>
  <c r="R54" i="135" s="1"/>
  <c r="T52" i="135"/>
  <c r="T53" i="135"/>
  <c r="L54" i="135"/>
  <c r="N54" i="135"/>
  <c r="D52" i="134"/>
  <c r="L52" i="134"/>
  <c r="L54" i="134" s="1"/>
  <c r="N52" i="134"/>
  <c r="N54" i="134" s="1"/>
  <c r="P52" i="134"/>
  <c r="P54" i="134" s="1"/>
  <c r="R52" i="134"/>
  <c r="R54" i="134" s="1"/>
  <c r="T52" i="134"/>
  <c r="T54" i="134" s="1"/>
  <c r="C25" i="133"/>
  <c r="D25" i="133"/>
  <c r="I25" i="133"/>
  <c r="I47" i="133" s="1"/>
  <c r="J25" i="133"/>
  <c r="C35" i="133"/>
  <c r="D35" i="133"/>
  <c r="E35" i="133"/>
  <c r="F35" i="133"/>
  <c r="G35" i="133"/>
  <c r="H35" i="133"/>
  <c r="C46" i="133"/>
  <c r="D46" i="133"/>
  <c r="E46" i="133"/>
  <c r="E47" i="133" s="1"/>
  <c r="F46" i="133"/>
  <c r="F47" i="133" s="1"/>
  <c r="G46" i="133"/>
  <c r="G47" i="133" s="1"/>
  <c r="H46" i="133"/>
  <c r="H47" i="133" s="1"/>
  <c r="I46" i="133"/>
  <c r="J46" i="133"/>
  <c r="J47" i="133" s="1"/>
  <c r="C26" i="131"/>
  <c r="C48" i="131" s="1"/>
  <c r="D26" i="131"/>
  <c r="E26" i="131"/>
  <c r="F26" i="131"/>
  <c r="F48" i="131" s="1"/>
  <c r="G26" i="131"/>
  <c r="H26" i="131"/>
  <c r="I26" i="131"/>
  <c r="J26" i="131"/>
  <c r="C36" i="131"/>
  <c r="D36" i="131"/>
  <c r="D48" i="131" s="1"/>
  <c r="J36" i="131"/>
  <c r="C47" i="131"/>
  <c r="D47" i="131"/>
  <c r="J47" i="131"/>
  <c r="E48" i="131"/>
  <c r="G48" i="131"/>
  <c r="H48" i="131"/>
  <c r="E6" i="129"/>
  <c r="I6" i="129"/>
  <c r="M6" i="129"/>
  <c r="E7" i="129"/>
  <c r="I7" i="129"/>
  <c r="M7" i="129"/>
  <c r="E8" i="129"/>
  <c r="I8" i="129"/>
  <c r="M8" i="129"/>
  <c r="E9" i="129"/>
  <c r="I9" i="129"/>
  <c r="M9" i="129"/>
  <c r="E10" i="129"/>
  <c r="I10" i="129"/>
  <c r="M10" i="129"/>
  <c r="E11" i="129"/>
  <c r="I11" i="129"/>
  <c r="M11" i="129"/>
  <c r="E12" i="129"/>
  <c r="I12" i="129"/>
  <c r="M12" i="129"/>
  <c r="E13" i="129"/>
  <c r="I13" i="129"/>
  <c r="M13" i="129"/>
  <c r="E14" i="129"/>
  <c r="I14" i="129"/>
  <c r="M14" i="129"/>
  <c r="E15" i="129"/>
  <c r="I15" i="129"/>
  <c r="M15" i="129"/>
  <c r="E16" i="129"/>
  <c r="I16" i="129"/>
  <c r="M16" i="129"/>
  <c r="E17" i="129"/>
  <c r="I17" i="129"/>
  <c r="M17" i="129"/>
  <c r="E18" i="129"/>
  <c r="I18" i="129"/>
  <c r="M18" i="129"/>
  <c r="E19" i="129"/>
  <c r="I19" i="129"/>
  <c r="M19" i="129"/>
  <c r="E20" i="129"/>
  <c r="I20" i="129"/>
  <c r="M20" i="129"/>
  <c r="E21" i="129"/>
  <c r="I21" i="129"/>
  <c r="M21" i="129"/>
  <c r="E22" i="129"/>
  <c r="I22" i="129"/>
  <c r="M22" i="129"/>
  <c r="E23" i="129"/>
  <c r="I23" i="129"/>
  <c r="M23" i="129"/>
  <c r="E24" i="129"/>
  <c r="I24" i="129"/>
  <c r="M24" i="129"/>
  <c r="E25" i="129"/>
  <c r="I25" i="129"/>
  <c r="M25" i="129"/>
  <c r="E26" i="129"/>
  <c r="I26" i="129"/>
  <c r="M26" i="129"/>
  <c r="E27" i="129"/>
  <c r="I27" i="129"/>
  <c r="M27" i="129"/>
  <c r="E28" i="129"/>
  <c r="I28" i="129"/>
  <c r="M28" i="129"/>
  <c r="E29" i="129"/>
  <c r="I29" i="129"/>
  <c r="M29" i="129"/>
  <c r="E30" i="129"/>
  <c r="I30" i="129"/>
  <c r="M30" i="129"/>
  <c r="E31" i="129"/>
  <c r="I31" i="129"/>
  <c r="M31" i="129"/>
  <c r="E32" i="129"/>
  <c r="I32" i="129"/>
  <c r="M32" i="129"/>
  <c r="E33" i="129"/>
  <c r="I33" i="129"/>
  <c r="M33" i="129"/>
  <c r="E34" i="129"/>
  <c r="I34" i="129"/>
  <c r="M34" i="129"/>
  <c r="E35" i="129"/>
  <c r="I35" i="129"/>
  <c r="M35" i="129"/>
  <c r="E36" i="129"/>
  <c r="I36" i="129"/>
  <c r="M36" i="129"/>
  <c r="E37" i="129"/>
  <c r="I37" i="129"/>
  <c r="M37" i="129"/>
  <c r="E38" i="129"/>
  <c r="I38" i="129"/>
  <c r="M38" i="129"/>
  <c r="E39" i="129"/>
  <c r="I39" i="129"/>
  <c r="M39" i="129"/>
  <c r="E40" i="129"/>
  <c r="I40" i="129"/>
  <c r="M40" i="129"/>
  <c r="E41" i="129"/>
  <c r="I41" i="129"/>
  <c r="M41" i="129"/>
  <c r="E42" i="129"/>
  <c r="I42" i="129"/>
  <c r="M42" i="129"/>
  <c r="E43" i="129"/>
  <c r="I43" i="129"/>
  <c r="M43" i="129"/>
  <c r="E45" i="129"/>
  <c r="I45" i="129"/>
  <c r="M45" i="129"/>
  <c r="O42" i="128"/>
  <c r="P42" i="128"/>
  <c r="Q42" i="128"/>
  <c r="R42" i="128"/>
  <c r="S42" i="128"/>
  <c r="T42" i="128"/>
  <c r="U42" i="128"/>
  <c r="V42" i="128"/>
  <c r="W42" i="128"/>
  <c r="X42" i="128"/>
  <c r="C31" i="127"/>
  <c r="D31" i="127"/>
  <c r="E31" i="127"/>
  <c r="F31" i="127"/>
  <c r="G31" i="127"/>
  <c r="H31" i="127"/>
  <c r="I31" i="127"/>
  <c r="J31" i="127"/>
  <c r="K31" i="127"/>
  <c r="L31" i="127"/>
  <c r="M31" i="127"/>
  <c r="N31" i="127"/>
  <c r="O31" i="127"/>
  <c r="P31" i="127"/>
  <c r="Q31" i="127"/>
  <c r="R31" i="127"/>
  <c r="C48" i="126"/>
  <c r="D48" i="126"/>
  <c r="E48" i="126"/>
  <c r="F48" i="126"/>
  <c r="G48" i="126"/>
  <c r="I48" i="126"/>
  <c r="J48" i="126"/>
  <c r="K48" i="126"/>
  <c r="L48" i="126"/>
  <c r="M48" i="126"/>
  <c r="N48" i="126"/>
  <c r="O48" i="126"/>
  <c r="P48" i="126"/>
  <c r="Q48" i="126"/>
  <c r="R48" i="126"/>
  <c r="S48" i="126"/>
  <c r="I5" i="125"/>
  <c r="AD5" i="125"/>
  <c r="AO5" i="125"/>
  <c r="AZ5" i="125"/>
  <c r="I6" i="125"/>
  <c r="AO6" i="125"/>
  <c r="I7" i="125"/>
  <c r="AO7" i="125"/>
  <c r="AZ7" i="125"/>
  <c r="I8" i="125"/>
  <c r="AD8" i="125"/>
  <c r="AO8" i="125"/>
  <c r="AZ8" i="125"/>
  <c r="I9" i="125"/>
  <c r="AD9" i="125"/>
  <c r="AO9" i="125"/>
  <c r="AZ9" i="125"/>
  <c r="I10" i="125"/>
  <c r="AD10" i="125"/>
  <c r="AO10" i="125"/>
  <c r="AZ10" i="125"/>
  <c r="I11" i="125"/>
  <c r="AD11" i="125"/>
  <c r="AO11" i="125"/>
  <c r="AZ11" i="125"/>
  <c r="I12" i="125"/>
  <c r="AD12" i="125"/>
  <c r="AO12" i="125"/>
  <c r="AZ12" i="125"/>
  <c r="I13" i="125"/>
  <c r="AD13" i="125"/>
  <c r="AO13" i="125"/>
  <c r="AZ13" i="125"/>
  <c r="I14" i="125"/>
  <c r="AD14" i="125"/>
  <c r="AO14" i="125"/>
  <c r="AZ14" i="125"/>
  <c r="I15" i="125"/>
  <c r="AO15" i="125"/>
  <c r="I16" i="125"/>
  <c r="AO16" i="125"/>
  <c r="AZ16" i="125"/>
  <c r="I17" i="125"/>
  <c r="AD17" i="125"/>
  <c r="AO17" i="125"/>
  <c r="AZ17" i="125"/>
  <c r="I18" i="125"/>
  <c r="AO18" i="125"/>
  <c r="AZ18" i="125"/>
  <c r="I19" i="125"/>
  <c r="AD19" i="125"/>
  <c r="AO19" i="125"/>
  <c r="AZ19" i="125"/>
  <c r="I20" i="125"/>
  <c r="AD20" i="125"/>
  <c r="AO20" i="125"/>
  <c r="AZ20" i="125"/>
  <c r="I21" i="125"/>
  <c r="AO21" i="125"/>
  <c r="AZ21" i="125"/>
  <c r="I22" i="125"/>
  <c r="AO22" i="125"/>
  <c r="I23" i="125"/>
  <c r="AO23" i="125"/>
  <c r="AZ23" i="125"/>
  <c r="I24" i="125"/>
  <c r="AO24" i="125"/>
  <c r="AZ24" i="125"/>
  <c r="I25" i="125"/>
  <c r="AD25" i="125"/>
  <c r="AO25" i="125"/>
  <c r="AZ25" i="125"/>
  <c r="I26" i="125"/>
  <c r="AD26" i="125"/>
  <c r="AO26" i="125"/>
  <c r="AZ26" i="125"/>
  <c r="I27" i="125"/>
  <c r="AD27" i="125"/>
  <c r="AO27" i="125"/>
  <c r="AZ27" i="125"/>
  <c r="I28" i="125"/>
  <c r="AO28" i="125"/>
  <c r="I29" i="125"/>
  <c r="AD29" i="125"/>
  <c r="AO29" i="125"/>
  <c r="AZ29" i="125"/>
  <c r="I30" i="125"/>
  <c r="AD30" i="125"/>
  <c r="AO30" i="125"/>
  <c r="AZ30" i="125"/>
  <c r="I31" i="125"/>
  <c r="AO31" i="125"/>
  <c r="AZ31" i="125"/>
  <c r="I32" i="125"/>
  <c r="AD32" i="125"/>
  <c r="AO32" i="125"/>
  <c r="AZ32" i="125"/>
  <c r="I33" i="125"/>
  <c r="AD33" i="125"/>
  <c r="AO33" i="125"/>
  <c r="AZ33" i="125"/>
  <c r="I34" i="125"/>
  <c r="AD34" i="125"/>
  <c r="AO34" i="125"/>
  <c r="AZ34" i="125"/>
  <c r="I35" i="125"/>
  <c r="AO35" i="125"/>
  <c r="AZ35" i="125"/>
  <c r="I36" i="125"/>
  <c r="AD36" i="125"/>
  <c r="AO36" i="125"/>
  <c r="AZ36" i="125"/>
  <c r="C37" i="125"/>
  <c r="D37" i="125"/>
  <c r="E37" i="125"/>
  <c r="F37" i="125"/>
  <c r="G37" i="125"/>
  <c r="H37" i="125"/>
  <c r="I37" i="125"/>
  <c r="M37" i="125"/>
  <c r="N37" i="125"/>
  <c r="O37" i="125"/>
  <c r="P37" i="125"/>
  <c r="Q37" i="125"/>
  <c r="R37" i="125"/>
  <c r="S37" i="125"/>
  <c r="W37" i="125"/>
  <c r="X37" i="125"/>
  <c r="Y37" i="125"/>
  <c r="Z37" i="125"/>
  <c r="AA37" i="125"/>
  <c r="AB37" i="125"/>
  <c r="AC37" i="125"/>
  <c r="AH37" i="125"/>
  <c r="AI37" i="125"/>
  <c r="AJ37" i="125"/>
  <c r="AK37" i="125"/>
  <c r="AL37" i="125"/>
  <c r="AM37" i="125"/>
  <c r="AN37" i="125"/>
  <c r="AZ37" i="125"/>
  <c r="M12" i="124"/>
  <c r="N12" i="124"/>
  <c r="O12" i="124"/>
  <c r="P12" i="124"/>
  <c r="Q12" i="124"/>
  <c r="R12" i="124"/>
  <c r="S12" i="124"/>
  <c r="T12" i="124"/>
  <c r="J6" i="122"/>
  <c r="N6" i="122"/>
  <c r="O6" i="122" s="1"/>
  <c r="J7" i="122"/>
  <c r="N7" i="122"/>
  <c r="O7" i="122" s="1"/>
  <c r="J8" i="122"/>
  <c r="N8" i="122"/>
  <c r="O8" i="122" s="1"/>
  <c r="J9" i="122"/>
  <c r="N9" i="122"/>
  <c r="O9" i="122" s="1"/>
  <c r="J10" i="122"/>
  <c r="N10" i="122"/>
  <c r="O10" i="122" s="1"/>
  <c r="J11" i="122"/>
  <c r="N11" i="122"/>
  <c r="O11" i="122" s="1"/>
  <c r="J12" i="122"/>
  <c r="N12" i="122"/>
  <c r="J13" i="122"/>
  <c r="N13" i="122"/>
  <c r="O13" i="122"/>
  <c r="J14" i="122"/>
  <c r="N14" i="122"/>
  <c r="O14" i="122" s="1"/>
  <c r="J15" i="122"/>
  <c r="N15" i="122"/>
  <c r="J16" i="122"/>
  <c r="N16" i="122"/>
  <c r="O16" i="122" s="1"/>
  <c r="J17" i="122"/>
  <c r="N17" i="122"/>
  <c r="O17" i="122" s="1"/>
  <c r="J18" i="122"/>
  <c r="N18" i="122"/>
  <c r="O18" i="122" s="1"/>
  <c r="J19" i="122"/>
  <c r="N19" i="122"/>
  <c r="I20" i="122"/>
  <c r="O20" i="122"/>
  <c r="I21" i="122"/>
  <c r="O21" i="122"/>
  <c r="I22" i="122"/>
  <c r="O22" i="122"/>
  <c r="I23" i="122"/>
  <c r="O23" i="122"/>
  <c r="I24" i="122"/>
  <c r="O24" i="122"/>
  <c r="I25" i="122"/>
  <c r="O25" i="122"/>
  <c r="I26" i="122"/>
  <c r="O26" i="122"/>
  <c r="I27" i="122"/>
  <c r="O27" i="122"/>
  <c r="I28" i="122"/>
  <c r="O28" i="122"/>
  <c r="I29" i="122"/>
  <c r="O29" i="122"/>
  <c r="I30" i="122"/>
  <c r="O30" i="122"/>
  <c r="I31" i="122"/>
  <c r="O31" i="122"/>
  <c r="I32" i="122"/>
  <c r="O32" i="122"/>
  <c r="I33" i="122"/>
  <c r="O33" i="122"/>
  <c r="I34" i="122"/>
  <c r="O34" i="122"/>
  <c r="I35" i="122"/>
  <c r="O35" i="122"/>
  <c r="D41" i="119"/>
  <c r="J41" i="119"/>
  <c r="K41" i="119"/>
  <c r="H41" i="118"/>
  <c r="J41" i="118"/>
  <c r="K41" i="118"/>
  <c r="H41" i="117"/>
  <c r="J41" i="117"/>
  <c r="K41" i="117"/>
  <c r="C41" i="116"/>
  <c r="D41" i="116"/>
  <c r="E41" i="116"/>
  <c r="F41" i="116"/>
  <c r="J41" i="116"/>
  <c r="K41" i="116"/>
  <c r="D6" i="114"/>
  <c r="D7" i="114" s="1"/>
  <c r="D8" i="114" s="1"/>
  <c r="D9" i="114" s="1"/>
  <c r="D10" i="114" s="1"/>
  <c r="D11" i="114" s="1"/>
  <c r="D12" i="114" s="1"/>
  <c r="D13" i="114" s="1"/>
  <c r="D14" i="114" s="1"/>
  <c r="D15" i="114" s="1"/>
  <c r="D16" i="114" s="1"/>
  <c r="D17" i="114" s="1"/>
  <c r="D18" i="114" s="1"/>
  <c r="D19" i="114" s="1"/>
  <c r="D20" i="114" s="1"/>
  <c r="D21" i="114" s="1"/>
  <c r="D22" i="114" s="1"/>
  <c r="D23" i="114" s="1"/>
  <c r="D24" i="114" s="1"/>
  <c r="D25" i="114" s="1"/>
  <c r="D26" i="114" s="1"/>
  <c r="D27" i="114" s="1"/>
  <c r="D28" i="114" s="1"/>
  <c r="D29" i="114" s="1"/>
  <c r="D30" i="114" s="1"/>
  <c r="D31" i="114" s="1"/>
  <c r="D32" i="114" s="1"/>
  <c r="D33" i="114" s="1"/>
  <c r="D34" i="114" s="1"/>
  <c r="D35" i="114" s="1"/>
  <c r="D36" i="114" s="1"/>
  <c r="D37" i="114" s="1"/>
  <c r="D38" i="114" s="1"/>
  <c r="D39" i="114" s="1"/>
  <c r="D40" i="114" s="1"/>
  <c r="D41" i="114" s="1"/>
  <c r="D42" i="114" s="1"/>
  <c r="D43" i="114" s="1"/>
  <c r="D44" i="114" s="1"/>
  <c r="H7" i="109"/>
  <c r="O7" i="109"/>
  <c r="R7" i="109"/>
  <c r="Z7" i="109" s="1"/>
  <c r="AE7" i="109" s="1"/>
  <c r="X7" i="109"/>
  <c r="Y7" i="109"/>
  <c r="AD7" i="109"/>
  <c r="AF7" i="109" s="1"/>
  <c r="BF7" i="109"/>
  <c r="BG7" i="109"/>
  <c r="H8" i="109"/>
  <c r="O8" i="109"/>
  <c r="R8" i="109"/>
  <c r="Z8" i="109" s="1"/>
  <c r="AE8" i="109" s="1"/>
  <c r="X8" i="109"/>
  <c r="Y8" i="109"/>
  <c r="AD8" i="109"/>
  <c r="AF8" i="109" s="1"/>
  <c r="BF8" i="109"/>
  <c r="BG8" i="109"/>
  <c r="H9" i="109"/>
  <c r="O9" i="109"/>
  <c r="R9" i="109"/>
  <c r="Z9" i="109" s="1"/>
  <c r="AE9" i="109" s="1"/>
  <c r="X9" i="109"/>
  <c r="Y9" i="109"/>
  <c r="AD9" i="109"/>
  <c r="AF9" i="109" s="1"/>
  <c r="BF9" i="109"/>
  <c r="BG9" i="109"/>
  <c r="H10" i="109"/>
  <c r="O10" i="109"/>
  <c r="R10" i="109"/>
  <c r="Z10" i="109" s="1"/>
  <c r="AE10" i="109" s="1"/>
  <c r="X10" i="109"/>
  <c r="Y10" i="109"/>
  <c r="AD10" i="109"/>
  <c r="AF10" i="109" s="1"/>
  <c r="BF10" i="109"/>
  <c r="BG10" i="109"/>
  <c r="H11" i="109"/>
  <c r="O11" i="109"/>
  <c r="R11" i="109"/>
  <c r="Z11" i="109" s="1"/>
  <c r="AE11" i="109" s="1"/>
  <c r="X11" i="109"/>
  <c r="Y11" i="109"/>
  <c r="AD11" i="109"/>
  <c r="AF11" i="109" s="1"/>
  <c r="BF11" i="109"/>
  <c r="BG11" i="109"/>
  <c r="H12" i="109"/>
  <c r="O12" i="109"/>
  <c r="R12" i="109"/>
  <c r="Z12" i="109" s="1"/>
  <c r="AE12" i="109" s="1"/>
  <c r="X12" i="109"/>
  <c r="Y12" i="109"/>
  <c r="AD12" i="109"/>
  <c r="AF12" i="109" s="1"/>
  <c r="BF12" i="109"/>
  <c r="BG12" i="109"/>
  <c r="H13" i="109"/>
  <c r="O13" i="109"/>
  <c r="R13" i="109"/>
  <c r="Z13" i="109" s="1"/>
  <c r="AE13" i="109" s="1"/>
  <c r="X13" i="109"/>
  <c r="Y13" i="109"/>
  <c r="AD13" i="109"/>
  <c r="AF13" i="109" s="1"/>
  <c r="BF13" i="109"/>
  <c r="BG13" i="109"/>
  <c r="H14" i="109"/>
  <c r="O14" i="109"/>
  <c r="R14" i="109"/>
  <c r="Z14" i="109" s="1"/>
  <c r="AE14" i="109" s="1"/>
  <c r="X14" i="109"/>
  <c r="Y14" i="109"/>
  <c r="AD14" i="109"/>
  <c r="AF14" i="109" s="1"/>
  <c r="BF14" i="109"/>
  <c r="BG14" i="109"/>
  <c r="H15" i="109"/>
  <c r="O15" i="109"/>
  <c r="R15" i="109"/>
  <c r="Z15" i="109" s="1"/>
  <c r="AE15" i="109" s="1"/>
  <c r="X15" i="109"/>
  <c r="Y15" i="109"/>
  <c r="AD15" i="109"/>
  <c r="AF15" i="109" s="1"/>
  <c r="BF15" i="109"/>
  <c r="BG15" i="109"/>
  <c r="H16" i="109"/>
  <c r="O16" i="109"/>
  <c r="R16" i="109"/>
  <c r="Z16" i="109" s="1"/>
  <c r="AE16" i="109" s="1"/>
  <c r="X16" i="109"/>
  <c r="Y16" i="109"/>
  <c r="AD16" i="109"/>
  <c r="AF16" i="109" s="1"/>
  <c r="BF16" i="109"/>
  <c r="BG16" i="109"/>
  <c r="H17" i="109"/>
  <c r="O17" i="109"/>
  <c r="R17" i="109"/>
  <c r="Z17" i="109" s="1"/>
  <c r="AE17" i="109" s="1"/>
  <c r="X17" i="109"/>
  <c r="Y17" i="109"/>
  <c r="AD17" i="109"/>
  <c r="AF17" i="109" s="1"/>
  <c r="BF17" i="109"/>
  <c r="BG17" i="109"/>
  <c r="H18" i="109"/>
  <c r="O18" i="109"/>
  <c r="R18" i="109"/>
  <c r="Z18" i="109" s="1"/>
  <c r="AE18" i="109" s="1"/>
  <c r="X18" i="109"/>
  <c r="Y18" i="109"/>
  <c r="AD18" i="109"/>
  <c r="AF18" i="109" s="1"/>
  <c r="BF18" i="109"/>
  <c r="BG18" i="109"/>
  <c r="H19" i="109"/>
  <c r="O19" i="109"/>
  <c r="R19" i="109"/>
  <c r="Z19" i="109" s="1"/>
  <c r="AE19" i="109" s="1"/>
  <c r="X19" i="109"/>
  <c r="Y19" i="109"/>
  <c r="AD19" i="109"/>
  <c r="AF19" i="109" s="1"/>
  <c r="BF19" i="109"/>
  <c r="BG19" i="109"/>
  <c r="H20" i="109"/>
  <c r="O20" i="109"/>
  <c r="R20" i="109"/>
  <c r="Z20" i="109" s="1"/>
  <c r="AE20" i="109" s="1"/>
  <c r="X20" i="109"/>
  <c r="Y20" i="109"/>
  <c r="AD20" i="109"/>
  <c r="AF20" i="109" s="1"/>
  <c r="BF20" i="109"/>
  <c r="BG20" i="109"/>
  <c r="H21" i="109"/>
  <c r="O21" i="109"/>
  <c r="R21" i="109"/>
  <c r="Z21" i="109" s="1"/>
  <c r="AE21" i="109" s="1"/>
  <c r="X21" i="109"/>
  <c r="Y21" i="109"/>
  <c r="AD21" i="109"/>
  <c r="AF21" i="109" s="1"/>
  <c r="BF21" i="109"/>
  <c r="BG21" i="109"/>
  <c r="H22" i="109"/>
  <c r="O22" i="109"/>
  <c r="R22" i="109"/>
  <c r="Z22" i="109" s="1"/>
  <c r="AE22" i="109" s="1"/>
  <c r="X22" i="109"/>
  <c r="Y22" i="109"/>
  <c r="AD22" i="109"/>
  <c r="AF22" i="109" s="1"/>
  <c r="BF22" i="109"/>
  <c r="BG22" i="109"/>
  <c r="H23" i="109"/>
  <c r="O23" i="109"/>
  <c r="R23" i="109"/>
  <c r="Z23" i="109" s="1"/>
  <c r="AE23" i="109" s="1"/>
  <c r="X23" i="109"/>
  <c r="Y23" i="109"/>
  <c r="AD23" i="109"/>
  <c r="AF23" i="109" s="1"/>
  <c r="BF23" i="109"/>
  <c r="BG23" i="109"/>
  <c r="H24" i="109"/>
  <c r="O24" i="109"/>
  <c r="R24" i="109"/>
  <c r="Z24" i="109" s="1"/>
  <c r="AE24" i="109" s="1"/>
  <c r="X24" i="109"/>
  <c r="Y24" i="109"/>
  <c r="AD24" i="109"/>
  <c r="AF24" i="109" s="1"/>
  <c r="BF24" i="109"/>
  <c r="BG24" i="109"/>
  <c r="H25" i="109"/>
  <c r="O25" i="109"/>
  <c r="R25" i="109"/>
  <c r="Z25" i="109" s="1"/>
  <c r="AE25" i="109" s="1"/>
  <c r="X25" i="109"/>
  <c r="Y25" i="109"/>
  <c r="AD25" i="109"/>
  <c r="AF25" i="109" s="1"/>
  <c r="BF25" i="109"/>
  <c r="BG25" i="109"/>
  <c r="H26" i="109"/>
  <c r="O26" i="109"/>
  <c r="R26" i="109"/>
  <c r="Z26" i="109" s="1"/>
  <c r="AE26" i="109" s="1"/>
  <c r="X26" i="109"/>
  <c r="Y26" i="109"/>
  <c r="AD26" i="109"/>
  <c r="AF26" i="109" s="1"/>
  <c r="BF26" i="109"/>
  <c r="BG26" i="109"/>
  <c r="H27" i="109"/>
  <c r="O27" i="109"/>
  <c r="R27" i="109"/>
  <c r="Z27" i="109" s="1"/>
  <c r="AE27" i="109" s="1"/>
  <c r="X27" i="109"/>
  <c r="Y27" i="109"/>
  <c r="AD27" i="109"/>
  <c r="AF27" i="109" s="1"/>
  <c r="BF27" i="109"/>
  <c r="BG27" i="109"/>
  <c r="H28" i="109"/>
  <c r="O28" i="109"/>
  <c r="R28" i="109"/>
  <c r="Z28" i="109" s="1"/>
  <c r="AE28" i="109" s="1"/>
  <c r="X28" i="109"/>
  <c r="Y28" i="109"/>
  <c r="AD28" i="109"/>
  <c r="AF28" i="109" s="1"/>
  <c r="BF28" i="109"/>
  <c r="BG28" i="109"/>
  <c r="H29" i="109"/>
  <c r="O29" i="109"/>
  <c r="R29" i="109"/>
  <c r="Z29" i="109" s="1"/>
  <c r="AE29" i="109" s="1"/>
  <c r="X29" i="109"/>
  <c r="Y29" i="109"/>
  <c r="AD29" i="109"/>
  <c r="AF29" i="109" s="1"/>
  <c r="BF29" i="109"/>
  <c r="BG29" i="109"/>
  <c r="H30" i="109"/>
  <c r="O30" i="109"/>
  <c r="R30" i="109"/>
  <c r="Z30" i="109" s="1"/>
  <c r="AE30" i="109" s="1"/>
  <c r="X30" i="109"/>
  <c r="Y30" i="109"/>
  <c r="AD30" i="109"/>
  <c r="AF30" i="109" s="1"/>
  <c r="BF30" i="109"/>
  <c r="BG30" i="109"/>
  <c r="H31" i="109"/>
  <c r="O31" i="109"/>
  <c r="R31" i="109"/>
  <c r="Z31" i="109" s="1"/>
  <c r="AE31" i="109" s="1"/>
  <c r="X31" i="109"/>
  <c r="Y31" i="109"/>
  <c r="AD31" i="109"/>
  <c r="AF31" i="109" s="1"/>
  <c r="BF31" i="109"/>
  <c r="BG31" i="109"/>
  <c r="H32" i="109"/>
  <c r="O32" i="109"/>
  <c r="R32" i="109"/>
  <c r="Z32" i="109" s="1"/>
  <c r="AE32" i="109" s="1"/>
  <c r="X32" i="109"/>
  <c r="Y32" i="109"/>
  <c r="AD32" i="109"/>
  <c r="AF32" i="109" s="1"/>
  <c r="BF32" i="109"/>
  <c r="BG32" i="109"/>
  <c r="H33" i="109"/>
  <c r="O33" i="109"/>
  <c r="R33" i="109"/>
  <c r="Z33" i="109" s="1"/>
  <c r="AE33" i="109" s="1"/>
  <c r="X33" i="109"/>
  <c r="Y33" i="109"/>
  <c r="AD33" i="109"/>
  <c r="AF33" i="109" s="1"/>
  <c r="BF33" i="109"/>
  <c r="BG33" i="109"/>
  <c r="H34" i="109"/>
  <c r="O34" i="109"/>
  <c r="R34" i="109"/>
  <c r="Z34" i="109" s="1"/>
  <c r="AE34" i="109" s="1"/>
  <c r="X34" i="109"/>
  <c r="Y34" i="109"/>
  <c r="AD34" i="109"/>
  <c r="AF34" i="109" s="1"/>
  <c r="BF34" i="109"/>
  <c r="BG34" i="109"/>
  <c r="H35" i="109"/>
  <c r="O35" i="109"/>
  <c r="R35" i="109"/>
  <c r="Z35" i="109" s="1"/>
  <c r="AE35" i="109" s="1"/>
  <c r="X35" i="109"/>
  <c r="Y35" i="109"/>
  <c r="AD35" i="109"/>
  <c r="AF35" i="109" s="1"/>
  <c r="BF35" i="109"/>
  <c r="BG35" i="109"/>
  <c r="H36" i="109"/>
  <c r="O36" i="109"/>
  <c r="R36" i="109"/>
  <c r="Z36" i="109" s="1"/>
  <c r="AE36" i="109" s="1"/>
  <c r="X36" i="109"/>
  <c r="Y36" i="109"/>
  <c r="AD36" i="109"/>
  <c r="AF36" i="109" s="1"/>
  <c r="BF36" i="109"/>
  <c r="BG36" i="109"/>
  <c r="H37" i="109"/>
  <c r="O37" i="109"/>
  <c r="R37" i="109"/>
  <c r="Z37" i="109" s="1"/>
  <c r="AE37" i="109" s="1"/>
  <c r="X37" i="109"/>
  <c r="Y37" i="109"/>
  <c r="AD37" i="109"/>
  <c r="AF37" i="109" s="1"/>
  <c r="BF37" i="109"/>
  <c r="BG37" i="109"/>
  <c r="H38" i="109"/>
  <c r="O38" i="109"/>
  <c r="R38" i="109"/>
  <c r="Z38" i="109" s="1"/>
  <c r="AE38" i="109" s="1"/>
  <c r="X38" i="109"/>
  <c r="Y38" i="109"/>
  <c r="AD38" i="109"/>
  <c r="AF38" i="109" s="1"/>
  <c r="BF38" i="109"/>
  <c r="BG38" i="109"/>
  <c r="H39" i="109"/>
  <c r="O39" i="109"/>
  <c r="R39" i="109"/>
  <c r="Z39" i="109" s="1"/>
  <c r="AE39" i="109" s="1"/>
  <c r="X39" i="109"/>
  <c r="Y39" i="109"/>
  <c r="AD39" i="109"/>
  <c r="AF39" i="109" s="1"/>
  <c r="BF39" i="109"/>
  <c r="BG39" i="109"/>
  <c r="H40" i="109"/>
  <c r="O40" i="109"/>
  <c r="R40" i="109"/>
  <c r="Z40" i="109" s="1"/>
  <c r="AE40" i="109" s="1"/>
  <c r="X40" i="109"/>
  <c r="Y40" i="109"/>
  <c r="AD40" i="109"/>
  <c r="AF40" i="109" s="1"/>
  <c r="BF40" i="109"/>
  <c r="BG40" i="109"/>
  <c r="H41" i="109"/>
  <c r="O41" i="109"/>
  <c r="R41" i="109"/>
  <c r="Z41" i="109" s="1"/>
  <c r="AE41" i="109" s="1"/>
  <c r="X41" i="109"/>
  <c r="Y41" i="109"/>
  <c r="AD41" i="109"/>
  <c r="AF41" i="109" s="1"/>
  <c r="BF41" i="109"/>
  <c r="BG41" i="109"/>
  <c r="H42" i="109"/>
  <c r="O42" i="109"/>
  <c r="R42" i="109"/>
  <c r="Z42" i="109" s="1"/>
  <c r="AE42" i="109" s="1"/>
  <c r="X42" i="109"/>
  <c r="Y42" i="109"/>
  <c r="AD42" i="109"/>
  <c r="AF42" i="109" s="1"/>
  <c r="BF42" i="109"/>
  <c r="BG42" i="109"/>
  <c r="I5" i="101"/>
  <c r="J5" i="101"/>
  <c r="J43" i="101" s="1"/>
  <c r="T5" i="101"/>
  <c r="U5" i="101"/>
  <c r="I6" i="101"/>
  <c r="T6" i="101"/>
  <c r="I7" i="101"/>
  <c r="T7" i="101"/>
  <c r="I8" i="101"/>
  <c r="T8" i="101"/>
  <c r="I9" i="101"/>
  <c r="T9" i="101"/>
  <c r="I10" i="101"/>
  <c r="T10" i="101"/>
  <c r="I11" i="101"/>
  <c r="T11" i="101"/>
  <c r="I12" i="101"/>
  <c r="T12" i="101"/>
  <c r="I13" i="101"/>
  <c r="T13" i="101"/>
  <c r="I14" i="101"/>
  <c r="T14" i="101"/>
  <c r="I15" i="101"/>
  <c r="T15" i="101"/>
  <c r="I16" i="101"/>
  <c r="T16" i="101"/>
  <c r="I17" i="101"/>
  <c r="T17" i="101"/>
  <c r="I18" i="101"/>
  <c r="T18" i="101"/>
  <c r="T19" i="101"/>
  <c r="I20" i="101"/>
  <c r="I43" i="101" s="1"/>
  <c r="K22" i="101" s="1"/>
  <c r="T20" i="101"/>
  <c r="I21" i="101"/>
  <c r="T21" i="101"/>
  <c r="I22" i="101"/>
  <c r="T22" i="101"/>
  <c r="I23" i="101"/>
  <c r="T23" i="101"/>
  <c r="I24" i="101"/>
  <c r="T24" i="101"/>
  <c r="I25" i="101"/>
  <c r="T25" i="101"/>
  <c r="I26" i="101"/>
  <c r="T26" i="101"/>
  <c r="I27" i="101"/>
  <c r="T27" i="101"/>
  <c r="I28" i="101"/>
  <c r="T28" i="101"/>
  <c r="I29" i="101"/>
  <c r="T29" i="101"/>
  <c r="I30" i="101"/>
  <c r="T30" i="101"/>
  <c r="I31" i="101"/>
  <c r="T31" i="101"/>
  <c r="I32" i="101"/>
  <c r="T32" i="101"/>
  <c r="I33" i="101"/>
  <c r="T33" i="101"/>
  <c r="I34" i="101"/>
  <c r="T34" i="101"/>
  <c r="I35" i="101"/>
  <c r="T35" i="101"/>
  <c r="I36" i="101"/>
  <c r="T36" i="101"/>
  <c r="I37" i="101"/>
  <c r="T37" i="101"/>
  <c r="I38" i="101"/>
  <c r="T38" i="101"/>
  <c r="I39" i="101"/>
  <c r="T39" i="101"/>
  <c r="I40" i="101"/>
  <c r="T40" i="101"/>
  <c r="I41" i="101"/>
  <c r="T41" i="101"/>
  <c r="I42" i="101"/>
  <c r="T42" i="101"/>
  <c r="C43" i="101"/>
  <c r="D43" i="101"/>
  <c r="E43" i="101"/>
  <c r="F43" i="101"/>
  <c r="G43" i="101"/>
  <c r="H43" i="101"/>
  <c r="O43" i="101"/>
  <c r="P43" i="101"/>
  <c r="Q43" i="101"/>
  <c r="R43" i="101"/>
  <c r="S43" i="101"/>
  <c r="U43" i="101"/>
  <c r="C44" i="99"/>
  <c r="D44" i="99"/>
  <c r="E44" i="99"/>
  <c r="G44" i="99"/>
  <c r="H44" i="99"/>
  <c r="J44" i="99"/>
  <c r="K44" i="99"/>
  <c r="M44" i="99"/>
  <c r="N44" i="99"/>
  <c r="P44" i="99"/>
  <c r="Q44" i="99"/>
  <c r="I6" i="98"/>
  <c r="J6" i="98" s="1"/>
  <c r="O6" i="98" s="1"/>
  <c r="N6" i="98"/>
  <c r="I7" i="98"/>
  <c r="J7" i="98"/>
  <c r="N7" i="98"/>
  <c r="O7" i="98" s="1"/>
  <c r="I8" i="98"/>
  <c r="N8" i="98"/>
  <c r="I9" i="98"/>
  <c r="N9" i="98"/>
  <c r="I10" i="98"/>
  <c r="N10" i="98"/>
  <c r="I11" i="98"/>
  <c r="N11" i="98"/>
  <c r="I12" i="98"/>
  <c r="N12" i="98"/>
  <c r="I13" i="98"/>
  <c r="N13" i="98"/>
  <c r="I14" i="98"/>
  <c r="J14" i="98"/>
  <c r="N14" i="98"/>
  <c r="I15" i="98"/>
  <c r="J15" i="98" s="1"/>
  <c r="N15" i="98"/>
  <c r="I16" i="98"/>
  <c r="J16" i="98" s="1"/>
  <c r="N16" i="98"/>
  <c r="F7" i="97"/>
  <c r="K7" i="97"/>
  <c r="P7" i="97"/>
  <c r="F8" i="97"/>
  <c r="K8" i="97"/>
  <c r="P8" i="97"/>
  <c r="F9" i="97"/>
  <c r="K9" i="97"/>
  <c r="P9" i="97"/>
  <c r="F10" i="97"/>
  <c r="K10" i="97"/>
  <c r="P10" i="97"/>
  <c r="F11" i="97"/>
  <c r="K11" i="97"/>
  <c r="P11" i="97"/>
  <c r="F12" i="97"/>
  <c r="K12" i="97"/>
  <c r="P12" i="97"/>
  <c r="F13" i="97"/>
  <c r="K13" i="97"/>
  <c r="P13" i="97"/>
  <c r="F14" i="97"/>
  <c r="K14" i="97"/>
  <c r="P14" i="97"/>
  <c r="F15" i="97"/>
  <c r="K15" i="97"/>
  <c r="P15" i="97"/>
  <c r="F16" i="97"/>
  <c r="K16" i="97"/>
  <c r="P16" i="97"/>
  <c r="F17" i="97"/>
  <c r="K17" i="97"/>
  <c r="P17" i="97"/>
  <c r="F18" i="97"/>
  <c r="K18" i="97"/>
  <c r="P18" i="97"/>
  <c r="F19" i="97"/>
  <c r="K19" i="97"/>
  <c r="P19" i="97"/>
  <c r="F20" i="97"/>
  <c r="K20" i="97"/>
  <c r="P20" i="97"/>
  <c r="F21" i="97"/>
  <c r="K21" i="97"/>
  <c r="P21" i="97"/>
  <c r="F22" i="97"/>
  <c r="K22" i="97"/>
  <c r="P22" i="97"/>
  <c r="F23" i="97"/>
  <c r="K23" i="97"/>
  <c r="P23" i="97"/>
  <c r="F24" i="97"/>
  <c r="K24" i="97"/>
  <c r="P24" i="97"/>
  <c r="F25" i="97"/>
  <c r="K25" i="97"/>
  <c r="P25" i="97"/>
  <c r="F26" i="97"/>
  <c r="K26" i="97"/>
  <c r="P26" i="97"/>
  <c r="F27" i="97"/>
  <c r="K27" i="97"/>
  <c r="P27" i="97"/>
  <c r="F28" i="97"/>
  <c r="K28" i="97"/>
  <c r="P28" i="97"/>
  <c r="F29" i="97"/>
  <c r="K29" i="97"/>
  <c r="P29" i="97"/>
  <c r="F30" i="97"/>
  <c r="K30" i="97"/>
  <c r="P30" i="97"/>
  <c r="F31" i="97"/>
  <c r="K31" i="97"/>
  <c r="P31" i="97"/>
  <c r="F32" i="97"/>
  <c r="K32" i="97"/>
  <c r="P32" i="97"/>
  <c r="F33" i="97"/>
  <c r="K33" i="97"/>
  <c r="P33" i="97"/>
  <c r="F34" i="97"/>
  <c r="K34" i="97"/>
  <c r="P34" i="97"/>
  <c r="F35" i="97"/>
  <c r="K35" i="97"/>
  <c r="P35" i="97"/>
  <c r="F36" i="97"/>
  <c r="K36" i="97"/>
  <c r="P36" i="97"/>
  <c r="F37" i="97"/>
  <c r="K37" i="97"/>
  <c r="P37" i="97"/>
  <c r="F38" i="97"/>
  <c r="K38" i="97"/>
  <c r="P38" i="97"/>
  <c r="F39" i="97"/>
  <c r="K39" i="97"/>
  <c r="P39" i="97"/>
  <c r="F40" i="97"/>
  <c r="K40" i="97"/>
  <c r="P40" i="97"/>
  <c r="F41" i="97"/>
  <c r="K41" i="97"/>
  <c r="P41" i="97"/>
  <c r="F42" i="97"/>
  <c r="K42" i="97"/>
  <c r="P42" i="97"/>
  <c r="F43" i="97"/>
  <c r="K43" i="97"/>
  <c r="P43" i="97"/>
  <c r="F44" i="97"/>
  <c r="K44" i="97"/>
  <c r="P44" i="97"/>
  <c r="F45" i="97"/>
  <c r="K45" i="97"/>
  <c r="P45" i="97"/>
  <c r="F46" i="97"/>
  <c r="K46" i="97"/>
  <c r="P46" i="97"/>
  <c r="F47" i="97"/>
  <c r="K47" i="97"/>
  <c r="P47" i="97"/>
  <c r="F48" i="97"/>
  <c r="K48" i="97"/>
  <c r="P48" i="97"/>
  <c r="F49" i="97"/>
  <c r="K49" i="97"/>
  <c r="P49" i="97"/>
  <c r="F50" i="97"/>
  <c r="Q50" i="97" s="1"/>
  <c r="K50" i="97"/>
  <c r="P50" i="97"/>
  <c r="F51" i="97"/>
  <c r="K51" i="97"/>
  <c r="P51" i="97"/>
  <c r="F52" i="97"/>
  <c r="K52" i="97"/>
  <c r="P52" i="97"/>
  <c r="F53" i="97"/>
  <c r="K53" i="97"/>
  <c r="P53" i="97"/>
  <c r="Q53" i="97" s="1"/>
  <c r="F54" i="97"/>
  <c r="Q54" i="97" s="1"/>
  <c r="K54" i="97"/>
  <c r="P54" i="97"/>
  <c r="F55" i="97"/>
  <c r="Q55" i="97" s="1"/>
  <c r="K55" i="97"/>
  <c r="P55" i="97"/>
  <c r="F57" i="97"/>
  <c r="Q57" i="97" s="1"/>
  <c r="K57" i="97"/>
  <c r="P57" i="97"/>
  <c r="F58" i="97"/>
  <c r="Q58" i="97" s="1"/>
  <c r="K58" i="97"/>
  <c r="P58" i="97"/>
  <c r="E5" i="93"/>
  <c r="E6" i="93"/>
  <c r="E7" i="93"/>
  <c r="E8" i="93"/>
  <c r="E9" i="93"/>
  <c r="E10" i="93"/>
  <c r="E11" i="93"/>
  <c r="E12" i="93"/>
  <c r="E13" i="93"/>
  <c r="B14" i="93"/>
  <c r="C14" i="93"/>
  <c r="D14" i="93"/>
  <c r="E14" i="93" s="1"/>
  <c r="E15" i="93"/>
  <c r="E16" i="93"/>
  <c r="E17" i="93"/>
  <c r="E18" i="93"/>
  <c r="E19" i="93"/>
  <c r="E20" i="93"/>
  <c r="E21" i="93"/>
  <c r="C22" i="93"/>
  <c r="E22" i="93"/>
  <c r="E23" i="93"/>
  <c r="E24" i="93"/>
  <c r="E25" i="93"/>
  <c r="E26" i="93"/>
  <c r="E27" i="93"/>
  <c r="E28" i="93"/>
  <c r="E29" i="93"/>
  <c r="E30" i="93"/>
  <c r="E31" i="93"/>
  <c r="E32" i="93"/>
  <c r="E33" i="93"/>
  <c r="E34" i="93"/>
  <c r="E35" i="93"/>
  <c r="E36" i="93"/>
  <c r="E37" i="93"/>
  <c r="B38" i="93"/>
  <c r="E38" i="93" s="1"/>
  <c r="C38" i="93"/>
  <c r="E39" i="93"/>
  <c r="E40" i="93"/>
  <c r="E41" i="93"/>
  <c r="E42" i="93"/>
  <c r="E43" i="93"/>
  <c r="E44" i="93"/>
  <c r="E45" i="93"/>
  <c r="B46" i="93"/>
  <c r="C46" i="93"/>
  <c r="E47" i="93"/>
  <c r="C19" i="92"/>
  <c r="K19" i="92"/>
  <c r="L19" i="92"/>
  <c r="M19" i="92"/>
  <c r="C23" i="92"/>
  <c r="K23" i="92"/>
  <c r="L23" i="92"/>
  <c r="M23" i="92"/>
  <c r="C28" i="92"/>
  <c r="K28" i="92"/>
  <c r="L28" i="92"/>
  <c r="M28" i="92"/>
  <c r="C29" i="92"/>
  <c r="K29" i="92"/>
  <c r="K31" i="92" s="1"/>
  <c r="L29" i="92"/>
  <c r="M29" i="92"/>
  <c r="M31" i="92" s="1"/>
  <c r="C30" i="92"/>
  <c r="K30" i="92"/>
  <c r="L30" i="92"/>
  <c r="M30" i="92"/>
  <c r="C32" i="92"/>
  <c r="K32" i="92"/>
  <c r="L32" i="92"/>
  <c r="L35" i="92" s="1"/>
  <c r="M32" i="92"/>
  <c r="M35" i="92" s="1"/>
  <c r="C33" i="92"/>
  <c r="K33" i="92"/>
  <c r="L33" i="92"/>
  <c r="M33" i="92"/>
  <c r="C34" i="92"/>
  <c r="K34" i="92"/>
  <c r="L34" i="92"/>
  <c r="M34" i="92"/>
  <c r="K35" i="92"/>
  <c r="Y8" i="91"/>
  <c r="Z8" i="91"/>
  <c r="Y10" i="91"/>
  <c r="Z10" i="91"/>
  <c r="Y11" i="91"/>
  <c r="Z11" i="91"/>
  <c r="Y17" i="91"/>
  <c r="Y18" i="91"/>
  <c r="B9" i="90"/>
  <c r="C9" i="90"/>
  <c r="D9" i="90"/>
  <c r="E9" i="90"/>
  <c r="F9" i="90"/>
  <c r="F25" i="90" s="1"/>
  <c r="G9" i="90"/>
  <c r="H9" i="90"/>
  <c r="I9" i="90"/>
  <c r="J9" i="90"/>
  <c r="K9" i="90"/>
  <c r="L9" i="90"/>
  <c r="M9" i="90"/>
  <c r="N9" i="90"/>
  <c r="N25" i="90" s="1"/>
  <c r="B24" i="90"/>
  <c r="C24" i="90"/>
  <c r="C25" i="90" s="1"/>
  <c r="D24" i="90"/>
  <c r="E24" i="90"/>
  <c r="E25" i="90" s="1"/>
  <c r="F24" i="90"/>
  <c r="G24" i="90"/>
  <c r="H24" i="90"/>
  <c r="I24" i="90"/>
  <c r="J24" i="90"/>
  <c r="K24" i="90"/>
  <c r="L24" i="90"/>
  <c r="M24" i="90"/>
  <c r="M25" i="90" s="1"/>
  <c r="N24" i="90"/>
  <c r="B25" i="90"/>
  <c r="G25" i="90"/>
  <c r="H25" i="90"/>
  <c r="I25" i="90"/>
  <c r="J25" i="90"/>
  <c r="K25" i="90"/>
  <c r="L25" i="90"/>
  <c r="C6" i="89"/>
  <c r="D6" i="89"/>
  <c r="E6" i="89"/>
  <c r="F6" i="89"/>
  <c r="G6" i="89"/>
  <c r="H6" i="89"/>
  <c r="I6" i="89"/>
  <c r="J6" i="89"/>
  <c r="C9" i="89"/>
  <c r="D9" i="89"/>
  <c r="E9" i="89"/>
  <c r="F9" i="89"/>
  <c r="G9" i="89"/>
  <c r="H9" i="89"/>
  <c r="I9" i="89"/>
  <c r="J9" i="89"/>
  <c r="I10" i="89"/>
  <c r="I11" i="89"/>
  <c r="C12" i="89"/>
  <c r="D12" i="89"/>
  <c r="E12" i="89"/>
  <c r="F12" i="89"/>
  <c r="G12" i="89"/>
  <c r="H12" i="89"/>
  <c r="I12" i="89"/>
  <c r="I13" i="89"/>
  <c r="I14" i="89"/>
  <c r="C15" i="89"/>
  <c r="D15" i="89"/>
  <c r="E15" i="89"/>
  <c r="F15" i="89"/>
  <c r="G15" i="89"/>
  <c r="I15" i="89" s="1"/>
  <c r="H15" i="89"/>
  <c r="J15" i="89"/>
  <c r="F16" i="89"/>
  <c r="I16" i="89"/>
  <c r="J16" i="89" s="1"/>
  <c r="I17" i="89"/>
  <c r="J17" i="89" s="1"/>
  <c r="I18" i="89"/>
  <c r="J18" i="89" s="1"/>
  <c r="F19" i="89"/>
  <c r="I19" i="89"/>
  <c r="I20" i="89"/>
  <c r="J20" i="89"/>
  <c r="I21" i="89"/>
  <c r="J21" i="89"/>
  <c r="F22" i="89"/>
  <c r="J22" i="89" s="1"/>
  <c r="I22" i="89"/>
  <c r="I23" i="89"/>
  <c r="J23" i="89" s="1"/>
  <c r="I24" i="89"/>
  <c r="J24" i="89" s="1"/>
  <c r="F25" i="89"/>
  <c r="J25" i="89" s="1"/>
  <c r="I25" i="89"/>
  <c r="I26" i="89"/>
  <c r="J26" i="89"/>
  <c r="I27" i="89"/>
  <c r="J27" i="89" s="1"/>
  <c r="F28" i="89"/>
  <c r="I28" i="89"/>
  <c r="I29" i="89"/>
  <c r="J29" i="89" s="1"/>
  <c r="I30" i="89"/>
  <c r="J30" i="89" s="1"/>
  <c r="F31" i="89"/>
  <c r="G31" i="89"/>
  <c r="G33" i="89" s="1"/>
  <c r="I33" i="89" s="1"/>
  <c r="F32" i="89"/>
  <c r="J32" i="89" s="1"/>
  <c r="G32" i="89"/>
  <c r="I32" i="89" s="1"/>
  <c r="C33" i="89"/>
  <c r="D33" i="89"/>
  <c r="F33" i="89" s="1"/>
  <c r="E33" i="89"/>
  <c r="H33" i="89"/>
  <c r="F34" i="89"/>
  <c r="J34" i="89" s="1"/>
  <c r="G34" i="89"/>
  <c r="I34" i="89" s="1"/>
  <c r="F35" i="89"/>
  <c r="F36" i="89" s="1"/>
  <c r="G35" i="89"/>
  <c r="I35" i="89"/>
  <c r="J35" i="89" s="1"/>
  <c r="C36" i="89"/>
  <c r="D36" i="89"/>
  <c r="E36" i="89"/>
  <c r="H36" i="89"/>
  <c r="F37" i="89"/>
  <c r="J37" i="89" s="1"/>
  <c r="G37" i="89"/>
  <c r="I37" i="89"/>
  <c r="F38" i="89"/>
  <c r="F39" i="89" s="1"/>
  <c r="I38" i="89"/>
  <c r="J38" i="89"/>
  <c r="C39" i="89"/>
  <c r="D39" i="89"/>
  <c r="E39" i="89"/>
  <c r="G39" i="89"/>
  <c r="I39" i="89" s="1"/>
  <c r="H39" i="89"/>
  <c r="F40" i="89"/>
  <c r="F42" i="89" s="1"/>
  <c r="I40" i="89"/>
  <c r="F41" i="89"/>
  <c r="J41" i="89" s="1"/>
  <c r="I41" i="89"/>
  <c r="C42" i="89"/>
  <c r="D42" i="89"/>
  <c r="E42" i="89"/>
  <c r="G42" i="89"/>
  <c r="I42" i="89" s="1"/>
  <c r="H42" i="89"/>
  <c r="F43" i="89"/>
  <c r="G43" i="89"/>
  <c r="G45" i="89" s="1"/>
  <c r="F44" i="89"/>
  <c r="G44" i="89"/>
  <c r="I44" i="89" s="1"/>
  <c r="C45" i="89"/>
  <c r="D45" i="89"/>
  <c r="E45" i="89"/>
  <c r="H45" i="89"/>
  <c r="F46" i="89"/>
  <c r="J46" i="89" s="1"/>
  <c r="F47" i="89"/>
  <c r="J47" i="89" s="1"/>
  <c r="H47" i="89"/>
  <c r="C48" i="89"/>
  <c r="D48" i="89"/>
  <c r="E48" i="89"/>
  <c r="G48" i="89"/>
  <c r="I48" i="89"/>
  <c r="C51" i="89"/>
  <c r="D51" i="89"/>
  <c r="E51" i="89"/>
  <c r="F51" i="89"/>
  <c r="G51" i="89"/>
  <c r="H51" i="89"/>
  <c r="I51" i="89"/>
  <c r="J51" i="89"/>
  <c r="F52" i="89"/>
  <c r="I52" i="89"/>
  <c r="I54" i="89" s="1"/>
  <c r="F53" i="89"/>
  <c r="I53" i="89"/>
  <c r="J53" i="89" s="1"/>
  <c r="C54" i="89"/>
  <c r="D54" i="89"/>
  <c r="E54" i="89"/>
  <c r="G54" i="89"/>
  <c r="H54" i="89"/>
  <c r="J8" i="88"/>
  <c r="K8" i="88"/>
  <c r="L8" i="88"/>
  <c r="M8" i="88"/>
  <c r="N8" i="88"/>
  <c r="O8" i="88"/>
  <c r="P8" i="88"/>
  <c r="Q8" i="88"/>
  <c r="R8" i="88"/>
  <c r="S8" i="88"/>
  <c r="T8" i="88"/>
  <c r="J12" i="88"/>
  <c r="K12" i="88"/>
  <c r="L12" i="88"/>
  <c r="M12" i="88"/>
  <c r="N12" i="88"/>
  <c r="O12" i="88"/>
  <c r="P12" i="88"/>
  <c r="Q12" i="88"/>
  <c r="R12" i="88"/>
  <c r="S12" i="88"/>
  <c r="T12" i="88"/>
  <c r="J16" i="88"/>
  <c r="K16" i="88"/>
  <c r="L16" i="88"/>
  <c r="M16" i="88"/>
  <c r="N16" i="88"/>
  <c r="O16" i="88"/>
  <c r="P16" i="88"/>
  <c r="Q16" i="88"/>
  <c r="R16" i="88"/>
  <c r="S16" i="88"/>
  <c r="T16" i="88"/>
  <c r="J20" i="88"/>
  <c r="K20" i="88"/>
  <c r="L20" i="88"/>
  <c r="M20" i="88"/>
  <c r="N20" i="88"/>
  <c r="O20" i="88"/>
  <c r="P20" i="88"/>
  <c r="Q20" i="88"/>
  <c r="R20" i="88"/>
  <c r="S20" i="88"/>
  <c r="T20" i="88"/>
  <c r="J24" i="88"/>
  <c r="K24" i="88"/>
  <c r="L24" i="88"/>
  <c r="M24" i="88"/>
  <c r="N24" i="88"/>
  <c r="O24" i="88"/>
  <c r="P24" i="88"/>
  <c r="Q24" i="88"/>
  <c r="R24" i="88"/>
  <c r="S24" i="88"/>
  <c r="T24" i="88"/>
  <c r="J28" i="88"/>
  <c r="K28" i="88"/>
  <c r="L28" i="88"/>
  <c r="M28" i="88"/>
  <c r="N28" i="88"/>
  <c r="O28" i="88"/>
  <c r="P28" i="88"/>
  <c r="Q28" i="88"/>
  <c r="R28" i="88"/>
  <c r="S28" i="88"/>
  <c r="T28" i="88"/>
  <c r="J32" i="88"/>
  <c r="K32" i="88"/>
  <c r="L32" i="88"/>
  <c r="M32" i="88"/>
  <c r="N32" i="88"/>
  <c r="O32" i="88"/>
  <c r="J33" i="88"/>
  <c r="K33" i="88"/>
  <c r="L33" i="88"/>
  <c r="M33" i="88"/>
  <c r="N33" i="88"/>
  <c r="O33" i="88"/>
  <c r="P33" i="88"/>
  <c r="Q33" i="88"/>
  <c r="R33" i="88"/>
  <c r="S33" i="88"/>
  <c r="T33" i="88"/>
  <c r="J34" i="88"/>
  <c r="J41" i="88" s="1"/>
  <c r="K34" i="88"/>
  <c r="L34" i="88"/>
  <c r="M34" i="88"/>
  <c r="N34" i="88"/>
  <c r="O34" i="88"/>
  <c r="P34" i="88"/>
  <c r="Q34" i="88"/>
  <c r="R34" i="88"/>
  <c r="S34" i="88"/>
  <c r="T34" i="88"/>
  <c r="J35" i="88"/>
  <c r="J42" i="88" s="1"/>
  <c r="K35" i="88"/>
  <c r="K42" i="88" s="1"/>
  <c r="L35" i="88"/>
  <c r="M35" i="88"/>
  <c r="N35" i="88"/>
  <c r="O35" i="88"/>
  <c r="P35" i="88"/>
  <c r="Q35" i="88"/>
  <c r="R35" i="88"/>
  <c r="S35" i="88"/>
  <c r="S36" i="88" s="1"/>
  <c r="T35" i="88"/>
  <c r="T36" i="88"/>
  <c r="J37" i="88"/>
  <c r="K37" i="88"/>
  <c r="K39" i="88"/>
  <c r="J40" i="88"/>
  <c r="K40" i="88"/>
  <c r="K41" i="88"/>
  <c r="G8" i="87"/>
  <c r="I8" i="87"/>
  <c r="J8" i="87"/>
  <c r="K8" i="87"/>
  <c r="L8" i="87"/>
  <c r="M8" i="87"/>
  <c r="N8" i="87"/>
  <c r="O8" i="87"/>
  <c r="P8" i="87"/>
  <c r="G12" i="87"/>
  <c r="H12" i="87"/>
  <c r="I12" i="87"/>
  <c r="J12" i="87"/>
  <c r="K12" i="87"/>
  <c r="L12" i="87"/>
  <c r="M12" i="87"/>
  <c r="N12" i="87"/>
  <c r="O12" i="87"/>
  <c r="P12" i="87"/>
  <c r="H16" i="87"/>
  <c r="J16" i="87"/>
  <c r="K16" i="87"/>
  <c r="L16" i="87"/>
  <c r="M16" i="87"/>
  <c r="N16" i="87"/>
  <c r="O16" i="87"/>
  <c r="P16" i="87"/>
  <c r="G20" i="87"/>
  <c r="H20" i="87"/>
  <c r="I20" i="87"/>
  <c r="J20" i="87"/>
  <c r="K20" i="87"/>
  <c r="L20" i="87"/>
  <c r="M20" i="87"/>
  <c r="N20" i="87"/>
  <c r="O20" i="87"/>
  <c r="P20" i="87"/>
  <c r="I24" i="87"/>
  <c r="J24" i="87"/>
  <c r="L24" i="87"/>
  <c r="M24" i="87"/>
  <c r="N24" i="87"/>
  <c r="O24" i="87"/>
  <c r="P24" i="87"/>
  <c r="G28" i="87"/>
  <c r="H28" i="87"/>
  <c r="I28" i="87"/>
  <c r="K28" i="87"/>
  <c r="L28" i="87"/>
  <c r="M28" i="87"/>
  <c r="N28" i="87"/>
  <c r="O28" i="87"/>
  <c r="P28" i="87"/>
  <c r="I32" i="87"/>
  <c r="J32" i="87"/>
  <c r="K32" i="87"/>
  <c r="L32" i="87"/>
  <c r="M32" i="87"/>
  <c r="N32" i="87"/>
  <c r="O32" i="87"/>
  <c r="P32" i="87"/>
  <c r="G36" i="87"/>
  <c r="I36" i="87"/>
  <c r="K36" i="87"/>
  <c r="L36" i="87"/>
  <c r="M36" i="87"/>
  <c r="N36" i="87"/>
  <c r="O36" i="87"/>
  <c r="P36" i="87"/>
  <c r="L40" i="87"/>
  <c r="M40" i="87"/>
  <c r="N40" i="87"/>
  <c r="O40" i="87"/>
  <c r="P40" i="87"/>
  <c r="L44" i="87"/>
  <c r="M44" i="87"/>
  <c r="N44" i="87"/>
  <c r="O44" i="87"/>
  <c r="P44" i="87"/>
  <c r="K48" i="87"/>
  <c r="L48" i="87"/>
  <c r="M48" i="87"/>
  <c r="N48" i="87"/>
  <c r="O48" i="87"/>
  <c r="P48" i="87"/>
  <c r="K52" i="87"/>
  <c r="L52" i="87"/>
  <c r="M52" i="87"/>
  <c r="N52" i="87"/>
  <c r="O52" i="87"/>
  <c r="P52" i="87"/>
  <c r="D53" i="87"/>
  <c r="E53" i="87"/>
  <c r="F53" i="87"/>
  <c r="G53" i="87"/>
  <c r="H53" i="87"/>
  <c r="I53" i="87"/>
  <c r="I56" i="87" s="1"/>
  <c r="J53" i="87"/>
  <c r="J56" i="87" s="1"/>
  <c r="K53" i="87"/>
  <c r="L53" i="87"/>
  <c r="M53" i="87"/>
  <c r="N53" i="87"/>
  <c r="O53" i="87"/>
  <c r="P53" i="87"/>
  <c r="D54" i="87"/>
  <c r="E54" i="87"/>
  <c r="F54" i="87"/>
  <c r="G54" i="87"/>
  <c r="H54" i="87"/>
  <c r="I54" i="87"/>
  <c r="I79" i="87" s="1"/>
  <c r="J54" i="87"/>
  <c r="J79" i="87" s="1"/>
  <c r="K54" i="87"/>
  <c r="L54" i="87"/>
  <c r="M54" i="87"/>
  <c r="N54" i="87"/>
  <c r="O54" i="87"/>
  <c r="P54" i="87"/>
  <c r="D55" i="87"/>
  <c r="E55" i="87"/>
  <c r="F55" i="87"/>
  <c r="G55" i="87"/>
  <c r="H55" i="87"/>
  <c r="H80" i="87" s="1"/>
  <c r="I55" i="87"/>
  <c r="J55" i="87"/>
  <c r="K55" i="87"/>
  <c r="L55" i="87"/>
  <c r="M55" i="87"/>
  <c r="O55" i="87"/>
  <c r="P55" i="87"/>
  <c r="K56" i="87"/>
  <c r="M56" i="87"/>
  <c r="N56" i="87"/>
  <c r="L61" i="87"/>
  <c r="M61" i="87"/>
  <c r="N61" i="87"/>
  <c r="O61" i="87"/>
  <c r="P61" i="87"/>
  <c r="L65" i="87"/>
  <c r="M65" i="87"/>
  <c r="N65" i="87"/>
  <c r="O65" i="87"/>
  <c r="P65" i="87"/>
  <c r="L69" i="87"/>
  <c r="M69" i="87"/>
  <c r="N69" i="87"/>
  <c r="O69" i="87"/>
  <c r="P69" i="87"/>
  <c r="L73" i="87"/>
  <c r="M73" i="87"/>
  <c r="N73" i="87"/>
  <c r="O73" i="87"/>
  <c r="P73" i="87"/>
  <c r="D74" i="87"/>
  <c r="E74" i="87"/>
  <c r="F74" i="87"/>
  <c r="G74" i="87"/>
  <c r="H74" i="87"/>
  <c r="I74" i="87"/>
  <c r="J74" i="87"/>
  <c r="K74" i="87"/>
  <c r="L74" i="87"/>
  <c r="M74" i="87"/>
  <c r="M78" i="87" s="1"/>
  <c r="N74" i="87"/>
  <c r="O74" i="87"/>
  <c r="O78" i="87" s="1"/>
  <c r="P74" i="87"/>
  <c r="D75" i="87"/>
  <c r="E75" i="87"/>
  <c r="F75" i="87"/>
  <c r="G75" i="87"/>
  <c r="H75" i="87"/>
  <c r="I75" i="87"/>
  <c r="J75" i="87"/>
  <c r="K75" i="87"/>
  <c r="L75" i="87"/>
  <c r="M75" i="87"/>
  <c r="N75" i="87"/>
  <c r="N79" i="87" s="1"/>
  <c r="O75" i="87"/>
  <c r="P75" i="87"/>
  <c r="D76" i="87"/>
  <c r="E76" i="87"/>
  <c r="F76" i="87"/>
  <c r="G76" i="87"/>
  <c r="H76" i="87"/>
  <c r="I76" i="87"/>
  <c r="J76" i="87"/>
  <c r="J77" i="87" s="1"/>
  <c r="K76" i="87"/>
  <c r="K77" i="87" s="1"/>
  <c r="L76" i="87"/>
  <c r="L80" i="87" s="1"/>
  <c r="M76" i="87"/>
  <c r="M80" i="87" s="1"/>
  <c r="N76" i="87"/>
  <c r="N80" i="87" s="1"/>
  <c r="O76" i="87"/>
  <c r="P76" i="87"/>
  <c r="J78" i="87"/>
  <c r="J81" i="87" s="1"/>
  <c r="K78" i="87"/>
  <c r="L78" i="87"/>
  <c r="K79" i="87"/>
  <c r="L79" i="87"/>
  <c r="M79" i="87"/>
  <c r="I80" i="87"/>
  <c r="J80" i="87"/>
  <c r="K80" i="87"/>
  <c r="K81" i="87" s="1"/>
  <c r="N8" i="86"/>
  <c r="O8" i="86"/>
  <c r="P8" i="86"/>
  <c r="Q8" i="86"/>
  <c r="L12" i="86"/>
  <c r="N12" i="86"/>
  <c r="O12" i="86"/>
  <c r="P12" i="86"/>
  <c r="Q12" i="86"/>
  <c r="L16" i="86"/>
  <c r="N16" i="86"/>
  <c r="O16" i="86"/>
  <c r="P16" i="86"/>
  <c r="Q16" i="86"/>
  <c r="N20" i="86"/>
  <c r="O20" i="86"/>
  <c r="P20" i="86"/>
  <c r="Q20" i="86"/>
  <c r="M21" i="86"/>
  <c r="M24" i="86" s="1"/>
  <c r="N21" i="86"/>
  <c r="N24" i="86" s="1"/>
  <c r="O21" i="86"/>
  <c r="P21" i="86"/>
  <c r="Q21" i="86"/>
  <c r="M22" i="86"/>
  <c r="N22" i="86"/>
  <c r="O22" i="86"/>
  <c r="P22" i="86"/>
  <c r="Q22" i="86"/>
  <c r="M23" i="86"/>
  <c r="N23" i="86"/>
  <c r="O23" i="86"/>
  <c r="P23" i="86"/>
  <c r="Q23" i="86"/>
  <c r="L24" i="86"/>
  <c r="T54" i="135" l="1"/>
  <c r="M77" i="87"/>
  <c r="H56" i="87"/>
  <c r="J39" i="89"/>
  <c r="I31" i="89"/>
  <c r="J31" i="89" s="1"/>
  <c r="J19" i="89"/>
  <c r="D25" i="90"/>
  <c r="D46" i="93"/>
  <c r="E46" i="93" s="1"/>
  <c r="O19" i="122"/>
  <c r="L56" i="87"/>
  <c r="N77" i="87"/>
  <c r="L77" i="87"/>
  <c r="N78" i="87"/>
  <c r="K18" i="101"/>
  <c r="K12" i="101"/>
  <c r="K6" i="101"/>
  <c r="D47" i="133"/>
  <c r="Q24" i="86"/>
  <c r="P24" i="86"/>
  <c r="G80" i="87"/>
  <c r="H79" i="87"/>
  <c r="R36" i="88"/>
  <c r="Q36" i="88"/>
  <c r="O24" i="86"/>
  <c r="P36" i="88"/>
  <c r="K17" i="101"/>
  <c r="K11" i="101"/>
  <c r="O12" i="122"/>
  <c r="J40" i="89"/>
  <c r="AD37" i="125"/>
  <c r="C47" i="133"/>
  <c r="F48" i="89"/>
  <c r="J48" i="89" s="1"/>
  <c r="Q52" i="97"/>
  <c r="F54" i="89"/>
  <c r="I45" i="89"/>
  <c r="J42" i="89"/>
  <c r="J28" i="89"/>
  <c r="L31" i="92"/>
  <c r="J48" i="131"/>
  <c r="E80" i="87"/>
  <c r="F79" i="87"/>
  <c r="G56" i="87"/>
  <c r="F45" i="89"/>
  <c r="J45" i="89" s="1"/>
  <c r="J33" i="89"/>
  <c r="H44" i="101"/>
  <c r="K15" i="101"/>
  <c r="K9" i="101"/>
  <c r="O36" i="88"/>
  <c r="L81" i="87"/>
  <c r="C35" i="92"/>
  <c r="C31" i="92"/>
  <c r="Q51" i="97"/>
  <c r="G44" i="101"/>
  <c r="O15" i="122"/>
  <c r="J36" i="88"/>
  <c r="J39" i="88"/>
  <c r="F44" i="101"/>
  <c r="K14" i="101"/>
  <c r="K8" i="101"/>
  <c r="AO37" i="125"/>
  <c r="E56" i="87"/>
  <c r="D80" i="87"/>
  <c r="E79" i="87"/>
  <c r="F56" i="87"/>
  <c r="P80" i="87"/>
  <c r="P79" i="87"/>
  <c r="D79" i="87"/>
  <c r="E78" i="87"/>
  <c r="E81" i="87" s="1"/>
  <c r="O80" i="87"/>
  <c r="O56" i="87"/>
  <c r="P56" i="87"/>
  <c r="D56" i="87"/>
  <c r="I77" i="87"/>
  <c r="H77" i="87"/>
  <c r="G77" i="87"/>
  <c r="F77" i="87"/>
  <c r="M81" i="87"/>
  <c r="O77" i="87"/>
  <c r="P77" i="87"/>
  <c r="D77" i="87"/>
  <c r="E77" i="87"/>
  <c r="N81" i="87"/>
  <c r="F80" i="87"/>
  <c r="G79" i="87"/>
  <c r="L36" i="88"/>
  <c r="K36" i="88"/>
  <c r="K43" i="88" s="1"/>
  <c r="N36" i="88"/>
  <c r="M36" i="88"/>
  <c r="J44" i="89"/>
  <c r="J43" i="88"/>
  <c r="K42" i="101"/>
  <c r="K39" i="101"/>
  <c r="K36" i="101"/>
  <c r="K33" i="101"/>
  <c r="K30" i="101"/>
  <c r="K27" i="101"/>
  <c r="K24" i="101"/>
  <c r="K21" i="101"/>
  <c r="G36" i="89"/>
  <c r="I36" i="89" s="1"/>
  <c r="J36" i="89" s="1"/>
  <c r="J52" i="89"/>
  <c r="J54" i="89" s="1"/>
  <c r="I43" i="89"/>
  <c r="J43" i="89" s="1"/>
  <c r="E44" i="101"/>
  <c r="K5" i="101"/>
  <c r="I78" i="87"/>
  <c r="I81" i="87" s="1"/>
  <c r="C44" i="101"/>
  <c r="K41" i="101"/>
  <c r="K35" i="101"/>
  <c r="K29" i="101"/>
  <c r="K23" i="101"/>
  <c r="K16" i="101"/>
  <c r="K13" i="101"/>
  <c r="K10" i="101"/>
  <c r="K7" i="101"/>
  <c r="D44" i="101"/>
  <c r="H78" i="87"/>
  <c r="K38" i="101"/>
  <c r="K32" i="101"/>
  <c r="K26" i="101"/>
  <c r="K20" i="101"/>
  <c r="G78" i="87"/>
  <c r="F78" i="87"/>
  <c r="T43" i="101"/>
  <c r="V15" i="101" s="1"/>
  <c r="O79" i="87"/>
  <c r="P78" i="87"/>
  <c r="P81" i="87" s="1"/>
  <c r="D78" i="87"/>
  <c r="K40" i="101"/>
  <c r="K37" i="101"/>
  <c r="K34" i="101"/>
  <c r="K31" i="101"/>
  <c r="K28" i="101"/>
  <c r="K25" i="101"/>
  <c r="S36" i="85"/>
  <c r="R36" i="85"/>
  <c r="Q36" i="85"/>
  <c r="T35" i="85"/>
  <c r="L35" i="85"/>
  <c r="M35" i="85" s="1"/>
  <c r="J35" i="85"/>
  <c r="E35" i="85"/>
  <c r="D35" i="85"/>
  <c r="C35" i="85"/>
  <c r="T34" i="85"/>
  <c r="M34" i="85"/>
  <c r="T33" i="85"/>
  <c r="M33" i="85"/>
  <c r="T32" i="85"/>
  <c r="M32" i="85"/>
  <c r="T31" i="85"/>
  <c r="M31" i="85"/>
  <c r="T30" i="85"/>
  <c r="M29" i="85"/>
  <c r="S28" i="85"/>
  <c r="T28" i="85" s="1"/>
  <c r="R28" i="85"/>
  <c r="Q28" i="85"/>
  <c r="T27" i="85"/>
  <c r="L27" i="85"/>
  <c r="J27" i="85"/>
  <c r="E27" i="85"/>
  <c r="D27" i="85"/>
  <c r="C27" i="85"/>
  <c r="T26" i="85"/>
  <c r="M26" i="85"/>
  <c r="T25" i="85"/>
  <c r="M25" i="85"/>
  <c r="T24" i="85"/>
  <c r="M24" i="85"/>
  <c r="S22" i="85"/>
  <c r="R22" i="85"/>
  <c r="Q22" i="85"/>
  <c r="T21" i="85"/>
  <c r="L21" i="85"/>
  <c r="M21" i="85" s="1"/>
  <c r="J21" i="85"/>
  <c r="E21" i="85"/>
  <c r="D21" i="85"/>
  <c r="C21" i="85"/>
  <c r="T20" i="85"/>
  <c r="M20" i="85"/>
  <c r="M19" i="85"/>
  <c r="S18" i="85"/>
  <c r="R18" i="85"/>
  <c r="Q18" i="85"/>
  <c r="T17" i="85"/>
  <c r="M17" i="85"/>
  <c r="J17" i="85"/>
  <c r="E17" i="85"/>
  <c r="D17" i="85"/>
  <c r="C17" i="85"/>
  <c r="T16" i="85"/>
  <c r="M16" i="85"/>
  <c r="T15" i="85"/>
  <c r="T14" i="85"/>
  <c r="T13" i="85"/>
  <c r="M13" i="85"/>
  <c r="T12" i="85"/>
  <c r="M12" i="85"/>
  <c r="S10" i="85"/>
  <c r="R10" i="85"/>
  <c r="Q10" i="85"/>
  <c r="L10" i="85"/>
  <c r="M10" i="85" s="1"/>
  <c r="J10" i="85"/>
  <c r="E10" i="85"/>
  <c r="D10" i="85"/>
  <c r="C10" i="85"/>
  <c r="T9" i="85"/>
  <c r="M9" i="85"/>
  <c r="T8" i="85"/>
  <c r="M8" i="85"/>
  <c r="T7" i="85"/>
  <c r="M7" i="85"/>
  <c r="Z19" i="84"/>
  <c r="X19" i="84"/>
  <c r="V19" i="84"/>
  <c r="U19" i="84"/>
  <c r="Q19" i="84"/>
  <c r="O19" i="84"/>
  <c r="M19" i="84"/>
  <c r="L19" i="84"/>
  <c r="R18" i="84"/>
  <c r="P18" i="84"/>
  <c r="N18" i="84"/>
  <c r="H18" i="84"/>
  <c r="F18" i="84"/>
  <c r="D18" i="84"/>
  <c r="C18" i="84"/>
  <c r="R17" i="84"/>
  <c r="P17" i="84"/>
  <c r="N17" i="84"/>
  <c r="R16" i="84"/>
  <c r="P16" i="84"/>
  <c r="N16" i="84"/>
  <c r="R15" i="84"/>
  <c r="P15" i="84"/>
  <c r="N15" i="84"/>
  <c r="R14" i="84"/>
  <c r="P14" i="84"/>
  <c r="N14" i="84"/>
  <c r="R13" i="84"/>
  <c r="P13" i="84"/>
  <c r="N13" i="84"/>
  <c r="R12" i="84"/>
  <c r="P12" i="84"/>
  <c r="N12" i="84"/>
  <c r="R11" i="84"/>
  <c r="P11" i="84"/>
  <c r="N11" i="84"/>
  <c r="R10" i="84"/>
  <c r="P10" i="84"/>
  <c r="N10" i="84"/>
  <c r="R9" i="84"/>
  <c r="P9" i="84"/>
  <c r="N9" i="84"/>
  <c r="R8" i="84"/>
  <c r="P8" i="84"/>
  <c r="N8" i="84"/>
  <c r="R7" i="84"/>
  <c r="P7" i="84"/>
  <c r="N7" i="84"/>
  <c r="R6" i="84"/>
  <c r="P6" i="84"/>
  <c r="N6" i="84"/>
  <c r="V36" i="101" l="1"/>
  <c r="V30" i="101"/>
  <c r="O81" i="87"/>
  <c r="V33" i="101"/>
  <c r="V42" i="101"/>
  <c r="Q44" i="101"/>
  <c r="S44" i="101"/>
  <c r="D36" i="85"/>
  <c r="H81" i="87"/>
  <c r="D81" i="87"/>
  <c r="F81" i="87"/>
  <c r="G81" i="87"/>
  <c r="K43" i="101"/>
  <c r="V39" i="101"/>
  <c r="V23" i="101"/>
  <c r="V29" i="101"/>
  <c r="V20" i="101"/>
  <c r="V17" i="101"/>
  <c r="V35" i="101"/>
  <c r="V26" i="101"/>
  <c r="V41" i="101"/>
  <c r="V9" i="101"/>
  <c r="V38" i="101"/>
  <c r="V5" i="101"/>
  <c r="V21" i="101"/>
  <c r="V24" i="101"/>
  <c r="V27" i="101"/>
  <c r="R44" i="101"/>
  <c r="V22" i="101"/>
  <c r="V25" i="101"/>
  <c r="V28" i="101"/>
  <c r="V31" i="101"/>
  <c r="V34" i="101"/>
  <c r="V37" i="101"/>
  <c r="V40" i="101"/>
  <c r="V7" i="101"/>
  <c r="V10" i="101"/>
  <c r="V13" i="101"/>
  <c r="V16" i="101"/>
  <c r="V32" i="101"/>
  <c r="V6" i="101"/>
  <c r="O44" i="101"/>
  <c r="V12" i="101"/>
  <c r="V8" i="101"/>
  <c r="V18" i="101"/>
  <c r="V14" i="101"/>
  <c r="P44" i="101"/>
  <c r="V11" i="101"/>
  <c r="T10" i="85"/>
  <c r="Q37" i="85"/>
  <c r="T18" i="85"/>
  <c r="R37" i="85"/>
  <c r="S37" i="85"/>
  <c r="L36" i="85"/>
  <c r="M36" i="85" s="1"/>
  <c r="T22" i="85"/>
  <c r="E36" i="85"/>
  <c r="T37" i="85"/>
  <c r="T36" i="85"/>
  <c r="M27" i="85"/>
  <c r="V43" i="101" l="1"/>
  <c r="O7" i="80"/>
  <c r="O8" i="80"/>
  <c r="O9" i="80"/>
  <c r="O13" i="80"/>
  <c r="O16" i="80"/>
  <c r="O17" i="80"/>
  <c r="O18" i="80"/>
  <c r="O19" i="80"/>
  <c r="O21" i="80"/>
  <c r="O23" i="80"/>
  <c r="O24" i="80"/>
  <c r="O25" i="80"/>
  <c r="O26" i="80"/>
  <c r="O27" i="80"/>
  <c r="O30" i="80"/>
  <c r="O31" i="80"/>
  <c r="O32" i="80"/>
  <c r="O33" i="80"/>
  <c r="O34" i="80"/>
  <c r="O35" i="80"/>
  <c r="O38" i="80"/>
  <c r="N41" i="80"/>
  <c r="N42" i="80" s="1"/>
  <c r="O41" i="80"/>
  <c r="L42" i="80"/>
  <c r="P42" i="80"/>
  <c r="Q42" i="80"/>
  <c r="C32" i="72"/>
  <c r="E30" i="72"/>
  <c r="E29" i="72"/>
  <c r="E28" i="72"/>
  <c r="E27" i="72"/>
  <c r="E26" i="72"/>
  <c r="E25" i="72"/>
  <c r="E24" i="72"/>
  <c r="E23" i="72"/>
  <c r="S35" i="75"/>
  <c r="T35" i="75"/>
  <c r="U35" i="75"/>
  <c r="V35" i="75"/>
  <c r="W35" i="75"/>
  <c r="X35" i="75"/>
  <c r="Y35" i="75"/>
  <c r="Z35" i="75"/>
  <c r="AC35" i="75" s="1"/>
  <c r="AA35" i="75"/>
  <c r="AB35" i="75"/>
  <c r="R35" i="75"/>
  <c r="O42" i="80" l="1"/>
  <c r="B15" i="79" l="1"/>
  <c r="B9" i="79"/>
  <c r="B10" i="79"/>
  <c r="B11" i="79"/>
  <c r="B12" i="79"/>
  <c r="B13" i="79"/>
  <c r="B14" i="79"/>
  <c r="B16" i="79"/>
  <c r="B17" i="79"/>
  <c r="B18" i="79"/>
  <c r="B19" i="79"/>
  <c r="B20" i="79"/>
  <c r="B21" i="79"/>
  <c r="B8" i="79"/>
  <c r="G12" i="65" l="1"/>
  <c r="T47" i="40"/>
  <c r="U47" i="40"/>
  <c r="V47" i="40"/>
  <c r="W47" i="40"/>
  <c r="X47" i="40"/>
  <c r="Y47" i="40"/>
  <c r="Z47" i="40"/>
  <c r="AA47" i="40"/>
  <c r="AB47" i="40"/>
  <c r="AC47" i="40"/>
  <c r="AF47" i="40" s="1"/>
  <c r="AD47" i="40"/>
  <c r="AE47" i="40"/>
  <c r="S47" i="40"/>
  <c r="T37" i="40"/>
  <c r="U37" i="40"/>
  <c r="V37" i="40"/>
  <c r="W37" i="40"/>
  <c r="W48" i="40" s="1"/>
  <c r="X37" i="40"/>
  <c r="X48" i="40" s="1"/>
  <c r="Y37" i="40"/>
  <c r="Z37" i="40"/>
  <c r="AA37" i="40"/>
  <c r="AB37" i="40"/>
  <c r="AC37" i="40"/>
  <c r="AD37" i="40"/>
  <c r="AE37" i="40"/>
  <c r="AE48" i="40" s="1"/>
  <c r="S37" i="40"/>
  <c r="S48" i="40" s="1"/>
  <c r="Q39" i="40"/>
  <c r="Q40" i="40" s="1"/>
  <c r="Q41" i="40" s="1"/>
  <c r="Q42" i="40" s="1"/>
  <c r="Q43" i="40" s="1"/>
  <c r="Q44" i="40" s="1"/>
  <c r="Q45" i="40" s="1"/>
  <c r="Q46" i="40" s="1"/>
  <c r="Q10" i="40"/>
  <c r="Q11" i="40" s="1"/>
  <c r="Q12" i="40" s="1"/>
  <c r="Q13" i="40" s="1"/>
  <c r="Q14" i="40" s="1"/>
  <c r="Q15" i="40" s="1"/>
  <c r="Q16" i="40" s="1"/>
  <c r="Q17" i="40" s="1"/>
  <c r="Q18" i="40" s="1"/>
  <c r="Q19" i="40" s="1"/>
  <c r="Q20" i="40" s="1"/>
  <c r="Q21" i="40" s="1"/>
  <c r="Q22" i="40" s="1"/>
  <c r="Q23" i="40" s="1"/>
  <c r="Q24" i="40" s="1"/>
  <c r="Q25" i="40" s="1"/>
  <c r="Q26" i="40" s="1"/>
  <c r="Q27" i="40" s="1"/>
  <c r="Q28" i="40" s="1"/>
  <c r="Q29" i="40" s="1"/>
  <c r="Q30" i="40" s="1"/>
  <c r="Q31" i="40" s="1"/>
  <c r="Q32" i="40" s="1"/>
  <c r="Q33" i="40" s="1"/>
  <c r="Q34" i="40" s="1"/>
  <c r="Q35" i="40" s="1"/>
  <c r="Q36" i="40" s="1"/>
  <c r="V48" i="40" l="1"/>
  <c r="AD48" i="40"/>
  <c r="AA48" i="40"/>
  <c r="Z48" i="40"/>
  <c r="Y48" i="40"/>
  <c r="AC48" i="40"/>
  <c r="U48" i="40"/>
  <c r="AB48" i="40"/>
  <c r="T48" i="40"/>
  <c r="AF37" i="40"/>
  <c r="AF48" i="40" l="1"/>
  <c r="N35" i="75"/>
  <c r="N34" i="75"/>
  <c r="N33" i="75"/>
  <c r="N32" i="75"/>
  <c r="N31" i="75"/>
  <c r="N30" i="75"/>
  <c r="N29" i="75"/>
  <c r="N28" i="75"/>
  <c r="N27" i="75"/>
  <c r="N26" i="75"/>
  <c r="N25" i="75"/>
  <c r="N24" i="75"/>
  <c r="N23" i="75"/>
  <c r="N22" i="75"/>
  <c r="N21" i="75"/>
  <c r="N20" i="75"/>
  <c r="N19" i="75"/>
  <c r="N18" i="75"/>
  <c r="N17" i="75"/>
  <c r="N16" i="75"/>
  <c r="N15" i="75"/>
  <c r="N14" i="75"/>
  <c r="N13" i="75"/>
  <c r="N12" i="75"/>
  <c r="N11" i="75"/>
  <c r="N10" i="75"/>
  <c r="N9" i="75"/>
  <c r="N8" i="75"/>
  <c r="N42" i="71" l="1"/>
  <c r="M42" i="71"/>
  <c r="L42" i="71"/>
  <c r="K42" i="71"/>
  <c r="J42" i="71"/>
  <c r="I42" i="71"/>
  <c r="H42" i="71"/>
  <c r="G42" i="71"/>
  <c r="F42" i="71"/>
  <c r="E42" i="71"/>
  <c r="D42" i="71"/>
  <c r="C42" i="71"/>
  <c r="E29" i="65" l="1"/>
  <c r="D29" i="65"/>
  <c r="C29" i="65"/>
  <c r="B29" i="65"/>
  <c r="E12" i="65"/>
  <c r="D12" i="65"/>
  <c r="C12" i="65"/>
  <c r="B12" i="65"/>
  <c r="G8" i="29" l="1"/>
  <c r="F8" i="29"/>
  <c r="E8" i="29"/>
  <c r="E27" i="29" s="1"/>
  <c r="D8" i="29"/>
  <c r="D27" i="29" s="1"/>
  <c r="N47" i="40" l="1"/>
  <c r="N37" i="40"/>
  <c r="M47" i="40"/>
  <c r="M37" i="40"/>
  <c r="M48" i="40" l="1"/>
  <c r="N48" i="40"/>
  <c r="C27" i="29"/>
  <c r="L39" i="40" l="1"/>
  <c r="L40" i="40"/>
  <c r="L41" i="40"/>
  <c r="L42" i="40"/>
  <c r="L45" i="40"/>
  <c r="L46" i="40"/>
  <c r="L9" i="40"/>
  <c r="L10" i="40"/>
  <c r="L11" i="40"/>
  <c r="L12" i="40"/>
  <c r="L13" i="40"/>
  <c r="L14" i="40"/>
  <c r="L15" i="40"/>
  <c r="L16" i="40"/>
  <c r="L17" i="40"/>
  <c r="L18" i="40"/>
  <c r="L19" i="40"/>
  <c r="L20" i="40"/>
  <c r="L21" i="40"/>
  <c r="L22" i="40"/>
  <c r="L23" i="40"/>
  <c r="L24" i="40"/>
  <c r="L25" i="40"/>
  <c r="L26" i="40"/>
  <c r="L27" i="40"/>
  <c r="L28" i="40"/>
  <c r="L29" i="40"/>
  <c r="L30" i="40"/>
  <c r="L31" i="40"/>
  <c r="L32" i="40"/>
  <c r="L33" i="40"/>
  <c r="L34" i="40"/>
  <c r="L35" i="40"/>
  <c r="L36" i="40"/>
  <c r="L8" i="40"/>
  <c r="J47" i="40"/>
  <c r="L47" i="40" s="1"/>
  <c r="J37" i="40"/>
  <c r="L37" i="40" s="1"/>
  <c r="I47" i="40"/>
  <c r="I37" i="40"/>
  <c r="H47" i="40"/>
  <c r="H37" i="40"/>
  <c r="G39" i="40"/>
  <c r="G40" i="40"/>
  <c r="G41" i="40"/>
  <c r="G42" i="40"/>
  <c r="G45" i="40"/>
  <c r="G46" i="40"/>
  <c r="G9" i="40"/>
  <c r="G10" i="40"/>
  <c r="G11" i="40"/>
  <c r="G12" i="40"/>
  <c r="G13" i="40"/>
  <c r="G14" i="40"/>
  <c r="G15" i="40"/>
  <c r="G16" i="40"/>
  <c r="G17" i="40"/>
  <c r="G18" i="40"/>
  <c r="G19" i="40"/>
  <c r="G20" i="40"/>
  <c r="G21" i="40"/>
  <c r="G22" i="40"/>
  <c r="G23" i="40"/>
  <c r="G24" i="40"/>
  <c r="G25" i="40"/>
  <c r="G26" i="40"/>
  <c r="G27" i="40"/>
  <c r="G28" i="40"/>
  <c r="G29" i="40"/>
  <c r="G30" i="40"/>
  <c r="G31" i="40"/>
  <c r="G32" i="40"/>
  <c r="G33" i="40"/>
  <c r="G34" i="40"/>
  <c r="G35" i="40"/>
  <c r="G36" i="40"/>
  <c r="G8" i="40"/>
  <c r="F47" i="40"/>
  <c r="E47" i="40"/>
  <c r="D47" i="40"/>
  <c r="C47" i="40"/>
  <c r="F37" i="40"/>
  <c r="E37" i="40"/>
  <c r="D37" i="40"/>
  <c r="C37" i="40"/>
  <c r="I48" i="40" l="1"/>
  <c r="F48" i="40"/>
  <c r="C48" i="40"/>
  <c r="D48" i="40"/>
  <c r="E48" i="40"/>
  <c r="G47" i="40"/>
  <c r="O37" i="40"/>
  <c r="O47" i="40"/>
  <c r="G37" i="40"/>
  <c r="H48" i="40"/>
  <c r="J48" i="40"/>
  <c r="L48" i="40" s="1"/>
  <c r="O48" i="40" l="1"/>
  <c r="G48" i="4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I8" authorId="0" shapeId="0" xr:uid="{1DAB4308-BA50-4372-9664-C4C58AAA9E71}">
      <text>
        <r>
          <rPr>
            <b/>
            <sz val="9"/>
            <color indexed="81"/>
            <rFont val="Tahoma"/>
            <family val="2"/>
          </rPr>
          <t>Inputs from Rabi21-22 Report.</t>
        </r>
        <r>
          <rPr>
            <sz val="9"/>
            <color indexed="81"/>
            <rFont val="Tahoma"/>
            <family val="2"/>
          </rPr>
          <t xml:space="preserve">
</t>
        </r>
      </text>
    </comment>
  </commentList>
</comments>
</file>

<file path=xl/sharedStrings.xml><?xml version="1.0" encoding="utf-8"?>
<sst xmlns="http://schemas.openxmlformats.org/spreadsheetml/2006/main" count="9054" uniqueCount="2839">
  <si>
    <t>Total</t>
  </si>
  <si>
    <t>2010-11</t>
  </si>
  <si>
    <t>2011-12</t>
  </si>
  <si>
    <t>2012-13</t>
  </si>
  <si>
    <t>Daman &amp; Diu</t>
  </si>
  <si>
    <t>Himachal Pradesh</t>
  </si>
  <si>
    <t>Kerala</t>
  </si>
  <si>
    <t>Lakshadweep</t>
  </si>
  <si>
    <t>Meghalaya</t>
  </si>
  <si>
    <t>Odisha</t>
  </si>
  <si>
    <t>Puducherry</t>
  </si>
  <si>
    <t xml:space="preserve">Sikkim </t>
  </si>
  <si>
    <t>Tamil Nadu</t>
  </si>
  <si>
    <t>2013-14</t>
  </si>
  <si>
    <t>Andhra Pradesh</t>
  </si>
  <si>
    <t>Arunachal Pradesh</t>
  </si>
  <si>
    <t>Goa</t>
  </si>
  <si>
    <t>Gujarat</t>
  </si>
  <si>
    <t>Madhya Pradesh</t>
  </si>
  <si>
    <t>Manipur</t>
  </si>
  <si>
    <t>Sikkim</t>
  </si>
  <si>
    <t>Assam</t>
  </si>
  <si>
    <t>Bihar</t>
  </si>
  <si>
    <t>Chhattisgarh</t>
  </si>
  <si>
    <t>Delhi</t>
  </si>
  <si>
    <t>Haryana</t>
  </si>
  <si>
    <t>Jammu &amp; Kashmir</t>
  </si>
  <si>
    <t>Jharkhand</t>
  </si>
  <si>
    <t>Karnataka</t>
  </si>
  <si>
    <t>Maharashtra</t>
  </si>
  <si>
    <t>Mizoram</t>
  </si>
  <si>
    <t>Nagaland</t>
  </si>
  <si>
    <t>Punjab</t>
  </si>
  <si>
    <t>Rajasthan</t>
  </si>
  <si>
    <t>Tripura</t>
  </si>
  <si>
    <t>Uttar Pradesh</t>
  </si>
  <si>
    <t>Uttarakhand</t>
  </si>
  <si>
    <t>West Bengal</t>
  </si>
  <si>
    <t>Chandigarh</t>
  </si>
  <si>
    <t>Telangana</t>
  </si>
  <si>
    <t>S. No.</t>
  </si>
  <si>
    <t>2014-15</t>
  </si>
  <si>
    <t>2015-16</t>
  </si>
  <si>
    <t>States/ UTs</t>
  </si>
  <si>
    <t>Cattle</t>
  </si>
  <si>
    <t>Sheep</t>
  </si>
  <si>
    <t>Poultry</t>
  </si>
  <si>
    <t>-</t>
  </si>
  <si>
    <t>Note: estimated number of animals from rural and urban area are taken together</t>
  </si>
  <si>
    <t>State</t>
  </si>
  <si>
    <t>Grand Total</t>
  </si>
  <si>
    <t>Species</t>
  </si>
  <si>
    <t>Adult female cattle*</t>
  </si>
  <si>
    <t>Buffaloes</t>
  </si>
  <si>
    <t>Adult female buffaloes**</t>
  </si>
  <si>
    <t>Total cattle &amp; buffaloes</t>
  </si>
  <si>
    <t>Goats</t>
  </si>
  <si>
    <t>Horses &amp; ponies</t>
  </si>
  <si>
    <t>Camels</t>
  </si>
  <si>
    <t>Pigs</t>
  </si>
  <si>
    <t>Mules</t>
  </si>
  <si>
    <t>Donkeys</t>
  </si>
  <si>
    <t>Yaks</t>
  </si>
  <si>
    <t>NC</t>
  </si>
  <si>
    <t>Total Livestock</t>
  </si>
  <si>
    <t>Dogs</t>
  </si>
  <si>
    <t>Rabbits</t>
  </si>
  <si>
    <t>NC  : Not Collected</t>
  </si>
  <si>
    <t>Annual Precipitation (including snowfall)</t>
  </si>
  <si>
    <t>4000 BCM</t>
  </si>
  <si>
    <t>Average Annual Availability</t>
  </si>
  <si>
    <t>1869 BCM</t>
  </si>
  <si>
    <t>1816Cu.M</t>
  </si>
  <si>
    <t>Estimated Utilizable Water Resources</t>
  </si>
  <si>
    <t>1123 BCM</t>
  </si>
  <si>
    <t>690 BCM</t>
  </si>
  <si>
    <t>433 BCM</t>
  </si>
  <si>
    <t>BCM: Billion Cubic Meters; CuM: Cubic Meter.</t>
  </si>
  <si>
    <t>Name of the River Basin</t>
  </si>
  <si>
    <t>Indus (up to Border)</t>
  </si>
  <si>
    <t>a) Ganga</t>
  </si>
  <si>
    <t>b) Brahmaputra, Barak &amp; Others</t>
  </si>
  <si>
    <t>Godavari</t>
  </si>
  <si>
    <t>Krishna</t>
  </si>
  <si>
    <t>Cauvery</t>
  </si>
  <si>
    <t>Pennar</t>
  </si>
  <si>
    <t>East Flowing Rivers Between Mahanadi &amp; Pennar</t>
  </si>
  <si>
    <t>East Flowing Rivers Between Pennar and Kanyakumari</t>
  </si>
  <si>
    <t>Mahanadi</t>
  </si>
  <si>
    <t>Brahmani &amp; Baitarni</t>
  </si>
  <si>
    <t>Subernarekha</t>
  </si>
  <si>
    <t>Sabarmati</t>
  </si>
  <si>
    <t>Mahi</t>
  </si>
  <si>
    <t>West Flowing Rivers of Kutch, Sabarmati including Luni</t>
  </si>
  <si>
    <t>Narmada</t>
  </si>
  <si>
    <t>Tapi</t>
  </si>
  <si>
    <t>West Flowing Rivers from Tapi to Tadri</t>
  </si>
  <si>
    <t>West Flowing Rivers from Tadri to Kanyakumari</t>
  </si>
  <si>
    <t>Area of Inland drainage in Rajasthan desert</t>
  </si>
  <si>
    <t>Negligible</t>
  </si>
  <si>
    <t>Minor River Basins Draining into Bangladesh &amp; Burma</t>
  </si>
  <si>
    <t>Name of Basin/River</t>
  </si>
  <si>
    <t>Subernekha etc.</t>
  </si>
  <si>
    <t>Brahmani</t>
  </si>
  <si>
    <t>Cauveri</t>
  </si>
  <si>
    <t>Mahi, etc</t>
  </si>
  <si>
    <t>#   Average, minimum and manimum values of respective sites of each Basin/River</t>
  </si>
  <si>
    <t>Dadra &amp; Nagar Haveli</t>
  </si>
  <si>
    <t>States</t>
  </si>
  <si>
    <t>Others</t>
  </si>
  <si>
    <t>--</t>
  </si>
  <si>
    <t>Subarnarekha</t>
  </si>
  <si>
    <t>Irrigation</t>
  </si>
  <si>
    <t>Drinking Water</t>
  </si>
  <si>
    <t>Industry</t>
  </si>
  <si>
    <t>Energy</t>
  </si>
  <si>
    <t>Other</t>
  </si>
  <si>
    <t>BCM: Billion Cubic Meters</t>
  </si>
  <si>
    <t>Union Territories</t>
  </si>
  <si>
    <t>BCM: Billion Cubic Meter.</t>
  </si>
  <si>
    <t># : The stage of Ground water development is to be computed as : E/N (Where  E: Existing Gross draft for all uses and N: Net annual availability.)</t>
  </si>
  <si>
    <t>Andaman &amp; Nicobar Island</t>
  </si>
  <si>
    <t>MoWRRD &amp;GR:Ministry of Water Resources, River Development &amp; Ganga Rejuvenation</t>
  </si>
  <si>
    <t>NCIWRD: National Commission on Integrated Water Resources Development</t>
  </si>
  <si>
    <t>* : Includes number of Exotic/Crossbred and Indigenous Cattle over the age 2.5 years for Crossbred other 3 years</t>
  </si>
  <si>
    <t>**: Includes Buffaloes over 3 years of age</t>
  </si>
  <si>
    <t>Total State</t>
  </si>
  <si>
    <t>Dadara &amp; Nagar Haveli</t>
  </si>
  <si>
    <t>संघ राज्‍य क्षेत्र</t>
  </si>
  <si>
    <t>2016-17</t>
  </si>
  <si>
    <t xml:space="preserve"> not received/not available</t>
  </si>
  <si>
    <t>Unit:BCM/Yr यूनिट : बीसीएम प्रतिवर्ष</t>
  </si>
  <si>
    <t>कुल योग</t>
  </si>
  <si>
    <t>MCM :Million Cubic Meter</t>
  </si>
  <si>
    <t xml:space="preserve">Items </t>
  </si>
  <si>
    <t>मद</t>
  </si>
  <si>
    <t>बेसिन</t>
  </si>
  <si>
    <t>Others**</t>
  </si>
  <si>
    <t>महाराष्ट्र</t>
  </si>
  <si>
    <t>नागालैंड</t>
  </si>
  <si>
    <t>कर्नाटक</t>
  </si>
  <si>
    <t>राज्‍य</t>
  </si>
  <si>
    <t>2017-18</t>
  </si>
  <si>
    <t>कुल</t>
  </si>
  <si>
    <t xml:space="preserve">  आंध्र प्रदेश</t>
  </si>
  <si>
    <t xml:space="preserve">  अरुणाचल प्रदेश</t>
  </si>
  <si>
    <t xml:space="preserve">  असम</t>
  </si>
  <si>
    <t xml:space="preserve">  बिहार</t>
  </si>
  <si>
    <t xml:space="preserve">  छत्तीसगढ़</t>
  </si>
  <si>
    <t xml:space="preserve">  दिल्ली</t>
  </si>
  <si>
    <t xml:space="preserve">  गोवा</t>
  </si>
  <si>
    <t xml:space="preserve">  गुजरात</t>
  </si>
  <si>
    <t xml:space="preserve">  हरियाणा</t>
  </si>
  <si>
    <t xml:space="preserve">  हिमाचल प्रदेश</t>
  </si>
  <si>
    <t xml:space="preserve">  जम्‍मू एवं कश्‍मीर</t>
  </si>
  <si>
    <t xml:space="preserve">  झारखंड</t>
  </si>
  <si>
    <t xml:space="preserve">  कर्नाटक</t>
  </si>
  <si>
    <t xml:space="preserve">  केरल</t>
  </si>
  <si>
    <t xml:space="preserve">  मध्य प्रदेश</t>
  </si>
  <si>
    <t xml:space="preserve">  महाराष्ट्र</t>
  </si>
  <si>
    <t xml:space="preserve">  मणिपुर</t>
  </si>
  <si>
    <t xml:space="preserve">  मेघालय</t>
  </si>
  <si>
    <t xml:space="preserve">  मिजोरम</t>
  </si>
  <si>
    <t xml:space="preserve">  नागालैंड</t>
  </si>
  <si>
    <t xml:space="preserve">  ओडिशा</t>
  </si>
  <si>
    <t xml:space="preserve">  पंजाब</t>
  </si>
  <si>
    <t xml:space="preserve">  राजस्थान</t>
  </si>
  <si>
    <t xml:space="preserve">  सिक्किम</t>
  </si>
  <si>
    <t xml:space="preserve">  तमिलनाडु</t>
  </si>
  <si>
    <t xml:space="preserve">  तेलंगाना</t>
  </si>
  <si>
    <t xml:space="preserve">  त्रिपुरा</t>
  </si>
  <si>
    <t xml:space="preserve">  उत्तर प्रदेश</t>
  </si>
  <si>
    <t xml:space="preserve">  उत्तराखंड</t>
  </si>
  <si>
    <t xml:space="preserve">  पश्चिम बंगाल</t>
  </si>
  <si>
    <t xml:space="preserve">  अंडमान एवं निकोबार द्वीप समूह</t>
  </si>
  <si>
    <t xml:space="preserve">  चंडीगढ़</t>
  </si>
  <si>
    <t xml:space="preserve">  दादरा एवं नगर हवेली</t>
  </si>
  <si>
    <t xml:space="preserve">  दमन एवं दीव</t>
  </si>
  <si>
    <t xml:space="preserve">  लक्षद्वीप</t>
  </si>
  <si>
    <t xml:space="preserve">  पुद्दुचेरी</t>
  </si>
  <si>
    <t xml:space="preserve">  कुल</t>
  </si>
  <si>
    <t xml:space="preserve">  मवेशी</t>
  </si>
  <si>
    <t xml:space="preserve">  भैंस</t>
  </si>
  <si>
    <t xml:space="preserve">  कुल मवेशी एवं भैंस</t>
  </si>
  <si>
    <t xml:space="preserve">  भेड़</t>
  </si>
  <si>
    <t xml:space="preserve">  बकरी</t>
  </si>
  <si>
    <t xml:space="preserve">  घोड़े और टट्टू</t>
  </si>
  <si>
    <t xml:space="preserve">  ऊॅट</t>
  </si>
  <si>
    <t xml:space="preserve">  सुअर</t>
  </si>
  <si>
    <t xml:space="preserve">  खच्चर</t>
  </si>
  <si>
    <t xml:space="preserve">  गधा</t>
  </si>
  <si>
    <t xml:space="preserve">  याक</t>
  </si>
  <si>
    <t xml:space="preserve">  कुल पशुधन</t>
  </si>
  <si>
    <t xml:space="preserve">  मुर्गीपालन</t>
  </si>
  <si>
    <t xml:space="preserve">  खरगोश</t>
  </si>
  <si>
    <t>प्रजाति</t>
  </si>
  <si>
    <t>राज्‍य / संघ राज्‍य क्षेत्र</t>
  </si>
  <si>
    <t xml:space="preserve"> महानदी</t>
  </si>
  <si>
    <t xml:space="preserve"> सुवर्णरेखा आदि</t>
  </si>
  <si>
    <t xml:space="preserve"> ब्रह्माणी</t>
  </si>
  <si>
    <t xml:space="preserve"> गोदावरी</t>
  </si>
  <si>
    <t xml:space="preserve"> कृष्णा</t>
  </si>
  <si>
    <t xml:space="preserve"> कावेरी</t>
  </si>
  <si>
    <t xml:space="preserve"> ताप्ती</t>
  </si>
  <si>
    <t xml:space="preserve"> नर्मदा</t>
  </si>
  <si>
    <t xml:space="preserve"> माही, आदि</t>
  </si>
  <si>
    <t>घाटी/नदी का नाम</t>
  </si>
  <si>
    <t>सिंचाई</t>
  </si>
  <si>
    <t>पेयजल</t>
  </si>
  <si>
    <t>उद्योग</t>
  </si>
  <si>
    <t>ऊर्जा</t>
  </si>
  <si>
    <t>अन्य</t>
  </si>
  <si>
    <r>
      <rPr>
        <b/>
        <sz val="11"/>
        <rFont val="Calibri"/>
        <family val="2"/>
        <scheme val="minor"/>
      </rPr>
      <t>क्षेत्र</t>
    </r>
  </si>
  <si>
    <t xml:space="preserve"> पेन्नार</t>
  </si>
  <si>
    <t>कुल राज्य</t>
  </si>
  <si>
    <t>असम</t>
  </si>
  <si>
    <t>गोवा</t>
  </si>
  <si>
    <t>मिजोरम</t>
  </si>
  <si>
    <t>तेलंगाना</t>
  </si>
  <si>
    <t>पश्चिम बंगाल</t>
  </si>
  <si>
    <t xml:space="preserve">Quantity 
मात्रा                    </t>
  </si>
  <si>
    <r>
      <rPr>
        <sz val="11"/>
        <color theme="1"/>
        <rFont val="Calibri"/>
        <family val="2"/>
      </rPr>
      <t>(क) गंगा</t>
    </r>
  </si>
  <si>
    <r>
      <rPr>
        <sz val="11"/>
        <color theme="1"/>
        <rFont val="Calibri"/>
        <family val="2"/>
      </rPr>
      <t>(ख) ब्रह्मपुत्र, बराक एवं अन्य</t>
    </r>
  </si>
  <si>
    <r>
      <rPr>
        <sz val="11"/>
        <color theme="1"/>
        <rFont val="Calibri"/>
        <family val="2"/>
      </rPr>
      <t>गोदावरी</t>
    </r>
  </si>
  <si>
    <r>
      <rPr>
        <sz val="11"/>
        <color theme="1"/>
        <rFont val="Calibri"/>
        <family val="2"/>
      </rPr>
      <t>कृष्णा</t>
    </r>
  </si>
  <si>
    <r>
      <rPr>
        <sz val="11"/>
        <color theme="1"/>
        <rFont val="Calibri"/>
        <family val="2"/>
      </rPr>
      <t>कावेरी</t>
    </r>
  </si>
  <si>
    <r>
      <rPr>
        <sz val="11"/>
        <color theme="1"/>
        <rFont val="Calibri"/>
        <family val="2"/>
      </rPr>
      <t>पेन्नार</t>
    </r>
  </si>
  <si>
    <r>
      <rPr>
        <sz val="11"/>
        <color theme="1"/>
        <rFont val="Calibri"/>
        <family val="2"/>
      </rPr>
      <t>महानदी से पेन्नार के बीच पूरब की ओर बहने वाली नदियां</t>
    </r>
  </si>
  <si>
    <r>
      <rPr>
        <sz val="11"/>
        <color theme="1"/>
        <rFont val="Calibri"/>
        <family val="2"/>
      </rPr>
      <t>पेन्नार से कन्याकुमारी के बीच पूरब की ओर बहने वाली नदियां</t>
    </r>
  </si>
  <si>
    <r>
      <rPr>
        <sz val="11"/>
        <color theme="1"/>
        <rFont val="Calibri"/>
        <family val="2"/>
      </rPr>
      <t>महानदी</t>
    </r>
  </si>
  <si>
    <r>
      <rPr>
        <sz val="11"/>
        <color theme="1"/>
        <rFont val="Calibri"/>
        <family val="2"/>
      </rPr>
      <t>ब्राह्मणी और बैतरणी</t>
    </r>
  </si>
  <si>
    <r>
      <rPr>
        <sz val="11"/>
        <color theme="1"/>
        <rFont val="Calibri"/>
        <family val="2"/>
      </rPr>
      <t>सुवर्णरेखा</t>
    </r>
  </si>
  <si>
    <r>
      <rPr>
        <sz val="11"/>
        <color theme="1"/>
        <rFont val="Calibri"/>
        <family val="2"/>
      </rPr>
      <t>साबरमती</t>
    </r>
  </si>
  <si>
    <r>
      <rPr>
        <sz val="11"/>
        <color theme="1"/>
        <rFont val="Calibri"/>
        <family val="2"/>
      </rPr>
      <t>माही</t>
    </r>
  </si>
  <si>
    <r>
      <rPr>
        <sz val="11"/>
        <color theme="1"/>
        <rFont val="Calibri"/>
        <family val="2"/>
      </rPr>
      <t>नर्मदा</t>
    </r>
  </si>
  <si>
    <r>
      <rPr>
        <sz val="11"/>
        <color theme="1"/>
        <rFont val="Calibri"/>
        <family val="2"/>
      </rPr>
      <t>ताप्ती</t>
    </r>
  </si>
  <si>
    <r>
      <rPr>
        <sz val="11"/>
        <color theme="1"/>
        <rFont val="Calibri"/>
        <family val="2"/>
      </rPr>
      <t xml:space="preserve">ताप्ती से ताडरी के बीच पश्चिम की ओर बहने वाली नदियां </t>
    </r>
  </si>
  <si>
    <r>
      <rPr>
        <sz val="11"/>
        <color theme="1"/>
        <rFont val="Calibri"/>
        <family val="2"/>
      </rPr>
      <t xml:space="preserve">ताडरी से कन्याकुमारी के बीच पश्चिम की ओर बहने वाली नदियां </t>
    </r>
  </si>
  <si>
    <t>नदी बेसिन का नाम</t>
  </si>
  <si>
    <t>राजस्‍थान के मरुस्‍थल में अंतर्देशीय ड्रेनेज का क्षेत्रफल</t>
  </si>
  <si>
    <t>लघु नदी द्रोणियां जो बांग्‍लादेश एवं बर्मा में अपवाहित होती हैं</t>
  </si>
  <si>
    <t xml:space="preserve"> Average#
 औसत#</t>
  </si>
  <si>
    <t>Minimum# 
न्‍यूनतम#</t>
  </si>
  <si>
    <t>Maximum#  
अधिकतम#</t>
  </si>
  <si>
    <t>Monsoon
मानसून</t>
  </si>
  <si>
    <t>Non-Monsoon 
गैर मानसून</t>
  </si>
  <si>
    <t>Annual
वार्षिक</t>
  </si>
  <si>
    <t>Monsoon 
मानसून</t>
  </si>
  <si>
    <t>Non-Monsoon
गैर मानसून</t>
  </si>
  <si>
    <t>Annual 
वार्षिक</t>
  </si>
  <si>
    <t>गोदावरी</t>
  </si>
  <si>
    <t>कृष्णा</t>
  </si>
  <si>
    <t>कावेरी</t>
  </si>
  <si>
    <t>सुवर्णरेखा</t>
  </si>
  <si>
    <t xml:space="preserve">Sector       </t>
  </si>
  <si>
    <t xml:space="preserve">Annual Replenishable  Ground Water Resources 
वार्षिक भरणीय भौमजल संसाधन </t>
  </si>
  <si>
    <t>Monsoon  Season
मानसून काल</t>
  </si>
  <si>
    <t>Non-monsoon Season
गैर मानसून काल</t>
  </si>
  <si>
    <t>Recharge from rainfall 
वर्षा से पुनर्भरण</t>
  </si>
  <si>
    <t>Recharge from other sources 
अन्‍य स्रोतों से पुनर्भरण</t>
  </si>
  <si>
    <t>Recharge from rainfall
वर्षा से पुनर्भरण</t>
  </si>
  <si>
    <t>Recharge from other source 
अन्‍य स्रोतों से पुनर्भरण</t>
  </si>
  <si>
    <t>Total 
कुल</t>
  </si>
  <si>
    <t xml:space="preserve">Natural Dischage during non-monsoon season 
मानसून से भिन्‍न मौसम के दौरान प्राकृतिक विसर्जन </t>
  </si>
  <si>
    <t>Net Annual Ground Water Availability 
भौमजल की निवल वार्षिक उपलब्धता</t>
  </si>
  <si>
    <t>Irrigation
सिंचाई</t>
  </si>
  <si>
    <t xml:space="preserve">Annual Ground  Water Draft 
वार्षिक भौमजल ड्राफ्ट </t>
  </si>
  <si>
    <t>Domestic and Industrial uses 
घरेलू एवं औद्योगिक प्रयोग</t>
  </si>
  <si>
    <t>Projected Demand for Domestic and Industrial uses upto
 2025
 तक घरेलू एवं औद्योगिक प्रयोगों के लिए प्रक्षेपित मांग</t>
  </si>
  <si>
    <t>Ground Water availability for future irrigation
भावी सिंचाई के लिए भौमजल उपलब्धता</t>
  </si>
  <si>
    <t>#Stage of Ground Water Development (%)
#भौमजल विकास का स्तर (प्रतिशत)</t>
  </si>
  <si>
    <t xml:space="preserve">  वयस्क मादा मवेशी*</t>
  </si>
  <si>
    <t>Andaman And Nicobar Islands</t>
  </si>
  <si>
    <t>West Bengal**</t>
  </si>
  <si>
    <t>**The Ground Water resources assessment as on 2013 has been considered for the state of West Bengal</t>
  </si>
  <si>
    <t>_</t>
  </si>
  <si>
    <t>2018-19</t>
  </si>
  <si>
    <t>$ : Ressessment  of water availability in India using space  input, 2019, CWC</t>
  </si>
  <si>
    <t xml:space="preserve">Source: Central Ground Water Board, Dynamic Ground Water Resources of India, (as on 31st March, 2017) </t>
  </si>
  <si>
    <t xml:space="preserve">स्रोत: केंद्रीय भौमजल बोर्ड, भारत के गतिशील भौमजल संसाधन (31 मार्च, 2017 की स्थिति के अनुसार) </t>
  </si>
  <si>
    <t>#: Report of the Standing Sub-Committee for assessment of availability and requirement of water for diverse uses in the country, August 2000.</t>
  </si>
  <si>
    <t>East Flowing Rivers from Pennar to Kanyakumri</t>
  </si>
  <si>
    <t xml:space="preserve">East Flowing Rivers from Mahanandi to  Pennar </t>
  </si>
  <si>
    <t xml:space="preserve">West Flowing Rivers from Tapi  to Tadri </t>
  </si>
  <si>
    <t>West Flowing Rivers Kutch, Saurashtra including Luni</t>
  </si>
  <si>
    <t xml:space="preserve">पूर्व की ओर पेन्नार से कन्याकुमारी तक बहने वाली नदियां </t>
  </si>
  <si>
    <t xml:space="preserve">पूर्व की ओर महानदी से पेन्नार तक बहने वाली नदियां </t>
  </si>
  <si>
    <t>पश्चिम की ओर ताड़ी से कन्याकुमारी तक बहने वाली नदियां</t>
  </si>
  <si>
    <t>पश्चिम की ओर तापी से ताड़ी तक बहने वाली नदियां</t>
  </si>
  <si>
    <t>पश्चिम की ओर कच्छ, सौराष्ट्र सहित लूनी तक बहने वाली नदियां</t>
  </si>
  <si>
    <t xml:space="preserve"> साबरमती</t>
  </si>
  <si>
    <t>Source : Intergrated Hydrological Data Book,CWC</t>
  </si>
  <si>
    <t xml:space="preserve"> Sitewise Monsoon, Non-Monsoon &amp; Annual flow of water from 2005-06 to 2014-15  </t>
  </si>
  <si>
    <t>p-156-181/c</t>
  </si>
  <si>
    <t>( As on 16.01.2020)</t>
  </si>
  <si>
    <t>Name of Basin
बेसिन का नाम</t>
  </si>
  <si>
    <t>Live Capacity at FRL (BCM)
एफआरएल (बीसीएम) में लाइव क्षमता</t>
  </si>
  <si>
    <t>Current Year
वर्तमान साल</t>
  </si>
  <si>
    <t>Last Year
पिछले साल</t>
  </si>
  <si>
    <t>Last 10 Years Average
अंतिम 10 साल का औसत</t>
  </si>
  <si>
    <t>Storage (BCM)
भंडारण (बीसीएम)</t>
  </si>
  <si>
    <t>Storage as % of Live Capacity at FRL
एफआरएल पर लाइव क्षमता का% के रूप में संग्रहण</t>
  </si>
  <si>
    <t>MAHI
माही</t>
  </si>
  <si>
    <t>Total
कुल</t>
  </si>
  <si>
    <t>http://www.cwc.gov.in/reservoir-storage</t>
  </si>
  <si>
    <t>Region / State</t>
  </si>
  <si>
    <t>Number of Reservoirs Monitored
 निगरानी वाले  जलाशयों की संख्या</t>
  </si>
  <si>
    <t>Live Storage (BCM)
लाइव भंडारण (बीसीएम)</t>
  </si>
  <si>
    <t>क्षेत्र / राज्य</t>
  </si>
  <si>
    <t>Northern Region</t>
  </si>
  <si>
    <t>उत्तरी क्षेत्र</t>
  </si>
  <si>
    <t>Himacal Pradesh</t>
  </si>
  <si>
    <t>Sub- Total</t>
  </si>
  <si>
    <t>उप- कुल</t>
  </si>
  <si>
    <t>Eastern Region</t>
  </si>
  <si>
    <t>पूर्वी क्षेत्र</t>
  </si>
  <si>
    <t>W. Bengal</t>
  </si>
  <si>
    <t>Western Region</t>
  </si>
  <si>
    <t>पश्चिमी क्षेत्र</t>
  </si>
  <si>
    <t>Maharastra</t>
  </si>
  <si>
    <t>Central Region</t>
  </si>
  <si>
    <t>केन्द्रीय क्षेत्र</t>
  </si>
  <si>
    <t>Uttharakhand</t>
  </si>
  <si>
    <t>Chhatisgarh</t>
  </si>
  <si>
    <t>Southern Region</t>
  </si>
  <si>
    <t>दक्षिणी भाग</t>
  </si>
  <si>
    <t>Andhra Pradesh &amp; Telangana</t>
  </si>
  <si>
    <t>आंध्र प्रदेश और तेलंगाना</t>
  </si>
  <si>
    <t xml:space="preserve">Andhra Pradesh  </t>
  </si>
  <si>
    <t xml:space="preserve">आंध्र प्रदेश </t>
  </si>
  <si>
    <t>Tamilnadu</t>
  </si>
  <si>
    <t>Country as a Whole</t>
  </si>
  <si>
    <t>Rainfall
वर्षा</t>
  </si>
  <si>
    <t>Q- Calibrated
क्यू - कैलिब्रेटेड</t>
  </si>
  <si>
    <t>Estimated Consumptive Irrigation Input (ECII)
अनुमानित उपभोक्ता सिंचाई इनपुट (ECII)</t>
  </si>
  <si>
    <t>GW Flux/GW 
फ्लक्स</t>
  </si>
  <si>
    <t>Reservoir Flux
जलाशय प्रवाह</t>
  </si>
  <si>
    <t>Reservoir Evap.
जलाशय वाष्पीकरण</t>
  </si>
  <si>
    <t>Export
निर्यात</t>
  </si>
  <si>
    <t>Import
आयात</t>
  </si>
  <si>
    <t>Q- Observed
क्यू- अवलोकन किया</t>
  </si>
  <si>
    <t>Snowmelt</t>
  </si>
  <si>
    <t>BCM</t>
  </si>
  <si>
    <t>Indus (within India)</t>
  </si>
  <si>
    <t>सिंधु (भारत के भीतर)</t>
  </si>
  <si>
    <t>Akhnoor</t>
  </si>
  <si>
    <t>अखनूर</t>
  </si>
  <si>
    <t>Chetak</t>
  </si>
  <si>
    <t>चेतक</t>
  </si>
  <si>
    <t>Harike</t>
  </si>
  <si>
    <t>हरिके</t>
  </si>
  <si>
    <t>Nimoo</t>
  </si>
  <si>
    <t>निम्मो</t>
  </si>
  <si>
    <t>Rest of Indus (ROI)</t>
  </si>
  <si>
    <t>शेष सिंधु (ROI)</t>
  </si>
  <si>
    <t xml:space="preserve"> Ganga- Brahmaputra-Meghna </t>
  </si>
  <si>
    <t>गंगा- ब्रह्मपुत्र-मेघना</t>
  </si>
  <si>
    <t>क) गंगा</t>
  </si>
  <si>
    <t>Upper ganga</t>
  </si>
  <si>
    <t>ऊपरी गंगा</t>
  </si>
  <si>
    <t>Lower Ganga</t>
  </si>
  <si>
    <t>निचली गंगा</t>
  </si>
  <si>
    <t>Yamuna</t>
  </si>
  <si>
    <t>यमुना</t>
  </si>
  <si>
    <t>b) Brahmaputra</t>
  </si>
  <si>
    <t>b) ब्रह्मपुत्र</t>
  </si>
  <si>
    <t>c) Barak &amp; others</t>
  </si>
  <si>
    <t>ग) बराक और अन्य</t>
  </si>
  <si>
    <t>Brahmani-Baitarani</t>
  </si>
  <si>
    <t>ब्राह्मणी-बैतरणी</t>
  </si>
  <si>
    <t>महानदी</t>
  </si>
  <si>
    <t>पेन्नार</t>
  </si>
  <si>
    <t>माही</t>
  </si>
  <si>
    <t>साबरमती</t>
  </si>
  <si>
    <t>नर्मदा</t>
  </si>
  <si>
    <t>तापी</t>
  </si>
  <si>
    <t>तापी से ताडरी तक पश्चिम की ओर बहने वाली नदियाँ</t>
  </si>
  <si>
    <t xml:space="preserve">West Flowing Rivers from Tadri to Kanyakumari </t>
  </si>
  <si>
    <t>ताड़ी से कन्याकुमारी तक पश्चिम की ओर बहने वाली नदियाँ</t>
  </si>
  <si>
    <t xml:space="preserve">East Flowing Rivers between Mahanadi and Pennar </t>
  </si>
  <si>
    <t>महानदी और पेन्नार के बीच पूर्व बहने वाली नदियाँ</t>
  </si>
  <si>
    <t xml:space="preserve">East Flowing Rivers between Pennar and Kanyakumari </t>
  </si>
  <si>
    <t>पेन्नार और कन्याकुमारी के बीच पूर्व बहने वाली नदियाँ</t>
  </si>
  <si>
    <t xml:space="preserve">West Flowing Rivers   of Kutch &amp; Saurashtra including Luni </t>
  </si>
  <si>
    <t>लूणी सहित कच्छ और सौराष्ट्र की पश्चिम बहती नदियाँ</t>
  </si>
  <si>
    <t>Gandhav</t>
  </si>
  <si>
    <t>गणधव</t>
  </si>
  <si>
    <t>Kamalpur</t>
  </si>
  <si>
    <t>कमालपुर</t>
  </si>
  <si>
    <t>Gungan</t>
  </si>
  <si>
    <t>Ganod</t>
  </si>
  <si>
    <t>Shetrunji</t>
  </si>
  <si>
    <t>Area of inland drainage in Rajastahan Desert</t>
  </si>
  <si>
    <t>Minor rivers draining into Myanmar (Burma) and Bangladesh</t>
  </si>
  <si>
    <t>म्यांमार (बर्मा) और बांग्लादेश में बहने वाली छोटी नदियाँ</t>
  </si>
  <si>
    <t>Basins</t>
  </si>
  <si>
    <t>Domestic, Industrial and Livestock (DIL)
घरेलू, औद्योगिक और पशुधन (DIL)</t>
  </si>
  <si>
    <t>गुंगन</t>
  </si>
  <si>
    <t>गनोंड</t>
  </si>
  <si>
    <t>सतरुंजी</t>
  </si>
  <si>
    <t>The Government of India have signed three treaties namely, (i) India-Bangladesh for sharing of waters of river Ganga at Farakka on 12th December 1996, (ii) India- Nepal (Mahakali Treaty) for development of water resources of Mahakali river (known as Sharda in India) on 12th February 1996 and (iii) The Indus Waters Treaty(India-Pakistan) in 1960. In addition there are agreements with Nepal on Kosi and Gandak.</t>
  </si>
  <si>
    <t xml:space="preserve">Brief details of water sharing treaty with neighbouring countries are given below: </t>
  </si>
  <si>
    <r>
      <t>1)</t>
    </r>
    <r>
      <rPr>
        <b/>
        <sz val="7"/>
        <color theme="1"/>
        <rFont val="Times New Roman"/>
        <family val="1"/>
      </rPr>
      <t xml:space="preserve">     </t>
    </r>
    <r>
      <rPr>
        <b/>
        <u/>
        <sz val="11"/>
        <color theme="1"/>
        <rFont val="Cambria"/>
        <family val="1"/>
      </rPr>
      <t>India - Bangladesh Treaty:</t>
    </r>
    <r>
      <rPr>
        <sz val="11"/>
        <color theme="1"/>
        <rFont val="Cambria"/>
        <family val="1"/>
      </rPr>
      <t xml:space="preserve"> The Treaty provides for sharing of waters of river Ganga at Farakka during lean period (1st January to 31st May),as per the following formula:</t>
    </r>
  </si>
  <si>
    <t>Availability at Farakka</t>
  </si>
  <si>
    <t>Share of India</t>
  </si>
  <si>
    <t>Share of Bangladesh</t>
  </si>
  <si>
    <t>70,000 cusecs or less</t>
  </si>
  <si>
    <t>70,000 cusecs-75,000 cusecs</t>
  </si>
  <si>
    <t>Balance of flow</t>
  </si>
  <si>
    <t>35,000 cusec</t>
  </si>
  <si>
    <t>75,000 cusecs or more</t>
  </si>
  <si>
    <t>40,000 cusecs</t>
  </si>
  <si>
    <t xml:space="preserve">Subject to the condition that India and Bangladesh each shall receive guaranteed 35,000 cusecs of water in alternate three 10-day periods during the period March 11 to May 10.The treaty is for 30 years and is being implemented successfully. </t>
  </si>
  <si>
    <r>
      <t>2)</t>
    </r>
    <r>
      <rPr>
        <b/>
        <sz val="7"/>
        <color theme="1"/>
        <rFont val="Times New Roman"/>
        <family val="1"/>
      </rPr>
      <t xml:space="preserve">     </t>
    </r>
    <r>
      <rPr>
        <b/>
        <u/>
        <sz val="11"/>
        <color theme="1"/>
        <rFont val="Cambria"/>
        <family val="1"/>
      </rPr>
      <t xml:space="preserve"> Mahakali Treaty:</t>
    </r>
    <r>
      <rPr>
        <sz val="11"/>
        <color theme="1"/>
        <rFont val="Cambria"/>
        <family val="1"/>
      </rPr>
      <t xml:space="preserve"> The Treaty provides for integrated development of Mahakali river which is guided by the principles of equality, mutual benefit and no harm to either Party. The development of Pancheshwar Multipurpose Project is centrepiece of the Treaty.</t>
    </r>
  </si>
  <si>
    <t>It is valid for 75 years with the provision to be reviewed by both the Parties at ten (10) years interval or earlier as required by either Party and make amendments thereto, if necessary. The sharing of water at various points is as follows:</t>
  </si>
  <si>
    <t>Point</t>
  </si>
  <si>
    <t>Nepal’s share</t>
  </si>
  <si>
    <t>India’s share</t>
  </si>
  <si>
    <t>Sharda Barrage</t>
  </si>
  <si>
    <t>28.35 m3 /s (1000 cusecs) in wet season (15th May to 15th October)</t>
  </si>
  <si>
    <t>Remaining water</t>
  </si>
  <si>
    <t>4.25 m3 /s (150 cusecs) in dry season (16thOctober to 14th May)</t>
  </si>
  <si>
    <t>10 m3 /s (350 cusecs) for maintaining ecosystem of river</t>
  </si>
  <si>
    <t>Tanakpur Barrage</t>
  </si>
  <si>
    <t>28.35 m3 /s (1000 cusecs) in wet season (15thMay to 15th October</t>
  </si>
  <si>
    <t>8.50 m3 /s (300 cusecs) in dry season (16thOctober to 14th May)</t>
  </si>
  <si>
    <t>10 m3 /s (350 cusecs) for irrigation of Dodhara Chandani area of Nepal</t>
  </si>
  <si>
    <r>
      <t>3)</t>
    </r>
    <r>
      <rPr>
        <b/>
        <sz val="7"/>
        <color theme="1"/>
        <rFont val="Times New Roman"/>
        <family val="1"/>
      </rPr>
      <t xml:space="preserve">     </t>
    </r>
    <r>
      <rPr>
        <b/>
        <u/>
        <sz val="11"/>
        <color theme="1"/>
        <rFont val="Cambria"/>
        <family val="1"/>
      </rPr>
      <t>Indus Water Treaty:</t>
    </r>
    <r>
      <rPr>
        <sz val="11"/>
        <color theme="1"/>
        <rFont val="Cambria"/>
        <family val="1"/>
      </rPr>
      <t xml:space="preserve">  India had signed the Indus Waters Treaty with Pakistan under the aegis of the World Bank in 1960. The main features of the Treaty are as under:</t>
    </r>
  </si>
  <si>
    <r>
      <t>a)</t>
    </r>
    <r>
      <rPr>
        <sz val="7"/>
        <color theme="1"/>
        <rFont val="Times New Roman"/>
        <family val="1"/>
      </rPr>
      <t xml:space="preserve">      </t>
    </r>
    <r>
      <rPr>
        <sz val="11"/>
        <color theme="1"/>
        <rFont val="Cambria"/>
        <family val="1"/>
      </rPr>
      <t>Under the provision of Treaty, all the waters of the three Eastern Rivers (Ravi, Beas, Sutlej with their tributaries) were allocated to India for the unrestricted use, while that of Western Rivers (Indus, Jhelum, Chenab with their tributaries) were allocated to Pakistan. However, India is permitted to use the waters of Western Rivers for domestic, non-consumptive, specified agricultural use and generation of hydro-electric power through Run of River (ROR) projects on the Western rivers as per criteria mentioned in the Treaty.</t>
    </r>
  </si>
  <si>
    <r>
      <t>b)</t>
    </r>
    <r>
      <rPr>
        <sz val="7"/>
        <color theme="1"/>
        <rFont val="Times New Roman"/>
        <family val="1"/>
      </rPr>
      <t xml:space="preserve">        </t>
    </r>
    <r>
      <rPr>
        <sz val="11"/>
        <color theme="1"/>
        <rFont val="Cambria"/>
        <family val="1"/>
      </rPr>
      <t>India can build storage projects on the Western Rivers to create storages up to 3.6 Million Acre Feet (MAF) for general, power and flood protection purposes (river- wise and use- wise storages that can be created and the criteria are defined in the Treaty).</t>
    </r>
  </si>
  <si>
    <t>Kg</t>
  </si>
  <si>
    <t>**  Provisional</t>
  </si>
  <si>
    <t xml:space="preserve">Rs in Crore/रु करोड़ में </t>
  </si>
  <si>
    <t xml:space="preserve">      (i)   Surface Water Resources</t>
  </si>
  <si>
    <t xml:space="preserve">   (ii) भौमजल संसाधन</t>
  </si>
  <si>
    <t xml:space="preserve">    (i) भूपृष्‍ठ जल संसाधन</t>
  </si>
  <si>
    <t>Ganga
गंगा</t>
  </si>
  <si>
    <t>Indus
सिंधु</t>
  </si>
  <si>
    <t xml:space="preserve">Narmada
नर्मदा </t>
  </si>
  <si>
    <t>Tapi
तापी</t>
  </si>
  <si>
    <t>Sabarmati
साबरमती</t>
  </si>
  <si>
    <t>River of Kutch
कच्छ की नदियाँ</t>
  </si>
  <si>
    <t>Godavari
गोदावरी</t>
  </si>
  <si>
    <t>Krishna
कृष्णा</t>
  </si>
  <si>
    <t>Mahanadi &amp; Neighbouring EFRS
महानदी और पड़ोसी पूर्व बहती नदियाँ</t>
  </si>
  <si>
    <t>Cauvery &amp; Neighbouring EFRS
कावेरी और पड़ोसी पूर्व बहती नदियाँ</t>
  </si>
  <si>
    <t>West Flowing Rivers of South
दक्षिण की पश्चिम में  बहने वाली नदियाँ</t>
  </si>
  <si>
    <r>
      <rPr>
        <sz val="11"/>
        <color theme="1"/>
        <rFont val="Calibri"/>
        <family val="2"/>
        <scheme val="minor"/>
      </rPr>
      <t xml:space="preserve">हिमाचल प्रदेश </t>
    </r>
  </si>
  <si>
    <r>
      <rPr>
        <sz val="11"/>
        <color theme="1"/>
        <rFont val="Calibri"/>
        <family val="2"/>
        <scheme val="minor"/>
      </rPr>
      <t xml:space="preserve">पंजाब </t>
    </r>
  </si>
  <si>
    <r>
      <rPr>
        <sz val="11"/>
        <color theme="1"/>
        <rFont val="Calibri"/>
        <family val="2"/>
        <scheme val="minor"/>
      </rPr>
      <t xml:space="preserve">राजस्थान </t>
    </r>
  </si>
  <si>
    <r>
      <rPr>
        <sz val="11"/>
        <color theme="1"/>
        <rFont val="Calibri"/>
        <family val="2"/>
        <scheme val="minor"/>
      </rPr>
      <t>झारखंड</t>
    </r>
  </si>
  <si>
    <r>
      <rPr>
        <sz val="11"/>
        <color theme="1"/>
        <rFont val="Calibri"/>
        <family val="2"/>
        <scheme val="minor"/>
      </rPr>
      <t>ओडिशा</t>
    </r>
  </si>
  <si>
    <r>
      <rPr>
        <sz val="11"/>
        <color theme="1"/>
        <rFont val="Calibri"/>
        <family val="2"/>
        <scheme val="minor"/>
      </rPr>
      <t>पश्चिम बंगाल</t>
    </r>
  </si>
  <si>
    <r>
      <rPr>
        <sz val="11"/>
        <color theme="1"/>
        <rFont val="Calibri"/>
        <family val="2"/>
        <scheme val="minor"/>
      </rPr>
      <t>त्रिपुरा</t>
    </r>
  </si>
  <si>
    <r>
      <rPr>
        <sz val="11"/>
        <color theme="1"/>
        <rFont val="Calibri"/>
        <family val="2"/>
        <scheme val="minor"/>
      </rPr>
      <t xml:space="preserve">नागालैंड </t>
    </r>
  </si>
  <si>
    <r>
      <rPr>
        <sz val="11"/>
        <color theme="1"/>
        <rFont val="Calibri"/>
        <family val="2"/>
        <scheme val="minor"/>
      </rPr>
      <t xml:space="preserve">गुजरात </t>
    </r>
  </si>
  <si>
    <r>
      <rPr>
        <sz val="11"/>
        <color theme="1"/>
        <rFont val="Calibri"/>
        <family val="2"/>
        <scheme val="minor"/>
      </rPr>
      <t>महाराष्ट्र</t>
    </r>
  </si>
  <si>
    <r>
      <rPr>
        <sz val="11"/>
        <color theme="1"/>
        <rFont val="Calibri"/>
        <family val="2"/>
        <scheme val="minor"/>
      </rPr>
      <t xml:space="preserve">उत्तर प्रदेश </t>
    </r>
  </si>
  <si>
    <r>
      <rPr>
        <sz val="11"/>
        <color theme="1"/>
        <rFont val="Calibri"/>
        <family val="2"/>
        <scheme val="minor"/>
      </rPr>
      <t xml:space="preserve">उत्तराखंड </t>
    </r>
  </si>
  <si>
    <r>
      <rPr>
        <sz val="11"/>
        <color theme="1"/>
        <rFont val="Calibri"/>
        <family val="2"/>
        <scheme val="minor"/>
      </rPr>
      <t xml:space="preserve">मध्य प्रदेश </t>
    </r>
  </si>
  <si>
    <r>
      <rPr>
        <sz val="11"/>
        <color theme="1"/>
        <rFont val="Calibri"/>
        <family val="2"/>
        <scheme val="minor"/>
      </rPr>
      <t>छत्तीसगढ़</t>
    </r>
  </si>
  <si>
    <r>
      <rPr>
        <sz val="11"/>
        <color theme="1"/>
        <rFont val="Calibri"/>
        <family val="2"/>
        <scheme val="minor"/>
      </rPr>
      <t xml:space="preserve">कर्नाटक </t>
    </r>
  </si>
  <si>
    <r>
      <rPr>
        <sz val="11"/>
        <color theme="1"/>
        <rFont val="Calibri"/>
        <family val="2"/>
        <scheme val="minor"/>
      </rPr>
      <t xml:space="preserve">केरल </t>
    </r>
  </si>
  <si>
    <r>
      <rPr>
        <sz val="11"/>
        <color theme="1"/>
        <rFont val="Calibri"/>
        <family val="2"/>
        <scheme val="minor"/>
      </rPr>
      <t xml:space="preserve">तमिलनाडु </t>
    </r>
  </si>
  <si>
    <r>
      <rPr>
        <b/>
        <sz val="11"/>
        <color theme="1"/>
        <rFont val="Calibri"/>
        <family val="2"/>
        <scheme val="minor"/>
      </rPr>
      <t xml:space="preserve">Source : </t>
    </r>
    <r>
      <rPr>
        <sz val="11"/>
        <color theme="1"/>
        <rFont val="Calibri"/>
        <family val="2"/>
        <scheme val="minor"/>
      </rPr>
      <t xml:space="preserve"> Central Water Commission  स्रोत: केंद्रीय जल आयोग</t>
    </r>
  </si>
  <si>
    <t>BCM : Billion Cubic Metres</t>
  </si>
  <si>
    <t>FRL : Full Reservoir Level</t>
  </si>
  <si>
    <t xml:space="preserve">Source: Reassessment of Water Availability in India using Space Inputs, Volume I (June 2019), Central Water Commission
</t>
  </si>
  <si>
    <t>स्रोत: अंतरिक्ष इनपुट, वॉल्यूम I (जून 2019), केंद्रीय जल आयोग का उपयोग करके भारत में जल उपलब्धता का पुनर्मूल्यांकन</t>
  </si>
  <si>
    <r>
      <rPr>
        <sz val="12"/>
        <rFont val="Calibri"/>
        <family val="2"/>
        <scheme val="minor"/>
      </rPr>
      <t xml:space="preserve">(Year / वर्ष 2018)     </t>
    </r>
    <r>
      <rPr>
        <b/>
        <sz val="12"/>
        <rFont val="Calibri"/>
        <family val="2"/>
        <scheme val="minor"/>
      </rPr>
      <t xml:space="preserve">                       </t>
    </r>
  </si>
  <si>
    <t>Water Availability
जल की उपलब्धता</t>
  </si>
  <si>
    <t>Statement 2.59 (b): Storage Status of Reservoirs of the Country</t>
  </si>
  <si>
    <t>विवरण 2.59 (b): देश के जलाशयों की भंडारण स्थिति</t>
  </si>
  <si>
    <t>Statement 2.59 (a) : Basin-wise Storage Status of Reservoirs of the Country</t>
  </si>
  <si>
    <t>विवरण 2.59 (a): देश के जलाशयों के बेसिन-वार भंडारण की स्थिति</t>
  </si>
  <si>
    <t xml:space="preserve">Statement  2.56: Water flow in stream </t>
  </si>
  <si>
    <t xml:space="preserve">विवरण 2.56 : धारा में जल प्रवाह </t>
  </si>
  <si>
    <t>Statement  2.55 (a) : Water availability in India</t>
  </si>
  <si>
    <t>विवरण 2.55 (a) : भारत में पानी की उपलब्‍धता</t>
  </si>
  <si>
    <t xml:space="preserve">2016-17 </t>
  </si>
  <si>
    <t xml:space="preserve">2014-15 </t>
  </si>
  <si>
    <t xml:space="preserve">2009-10 </t>
  </si>
  <si>
    <t>2008-09</t>
  </si>
  <si>
    <t>2007-08</t>
  </si>
  <si>
    <t>2006-07</t>
  </si>
  <si>
    <t>2005-06</t>
  </si>
  <si>
    <t>2004-05</t>
  </si>
  <si>
    <t>2003-04</t>
  </si>
  <si>
    <t xml:space="preserve">2002-03  </t>
  </si>
  <si>
    <t xml:space="preserve">2001-02 </t>
  </si>
  <si>
    <t xml:space="preserve">2000-01 </t>
  </si>
  <si>
    <t>1990-91</t>
  </si>
  <si>
    <t>1980-81</t>
  </si>
  <si>
    <t>1970-71</t>
  </si>
  <si>
    <t>1960-61</t>
  </si>
  <si>
    <t>1950-51</t>
  </si>
  <si>
    <t>Andaman &amp; Nicobar Islands</t>
  </si>
  <si>
    <t>2009-10</t>
  </si>
  <si>
    <t>(in '000 tonnes/ 000'टन में))</t>
  </si>
  <si>
    <t>Statement 2.50 : Number of animals slaughtered and Quantity of Meat Production</t>
  </si>
  <si>
    <t>विवरण 2.50 : वध किए गए पशुओं की संख्‍या तथा मांस उत्‍पादन</t>
  </si>
  <si>
    <t>Cattle 
मवेशी</t>
  </si>
  <si>
    <t>Buffalo
भैंस</t>
  </si>
  <si>
    <t xml:space="preserve">  Sheep
भेड़</t>
  </si>
  <si>
    <t>Goat
बकरी</t>
  </si>
  <si>
    <t>Pig
सुअर</t>
  </si>
  <si>
    <t>Poultry 
मुर्गीपालन</t>
  </si>
  <si>
    <t>Meat Production (In 000 tons) 
मांस उत्‍पादन (000 टन में)</t>
  </si>
  <si>
    <t>Animal Slaughtered (In 000 nos.)
वध किए गए पशु (संख्‍या 000 में)</t>
  </si>
  <si>
    <t>स्रोत : मत्स्यपालन, पशुपालन और डेयरी मंत्रालय</t>
  </si>
  <si>
    <t xml:space="preserve">स्रोत : मत्स्यपालन, पशुपालन और डेयरी मंत्रालय, राज्‍य/संघ राज्‍य क्षेत्र के पशुपालन विभाग
</t>
  </si>
  <si>
    <t>Dairy and Poultry Products and Honey
डेयरी और पोल्ट्री उत्पाद और शहद</t>
  </si>
  <si>
    <r>
      <rPr>
        <sz val="11"/>
        <rFont val="Calibri"/>
        <family val="2"/>
      </rPr>
      <t>वार्षिक वर्षण (हिमपात सहित)</t>
    </r>
  </si>
  <si>
    <r>
      <rPr>
        <sz val="11"/>
        <rFont val="Calibri"/>
        <family val="2"/>
      </rPr>
      <t>औसत वार्षिक उपलब्धता</t>
    </r>
  </si>
  <si>
    <r>
      <rPr>
        <sz val="11"/>
        <rFont val="Calibri"/>
        <family val="2"/>
      </rPr>
      <t>(i)  प्रति व्‍यक्ति जल उपलब्‍धता (2001) घनमीटर में</t>
    </r>
  </si>
  <si>
    <r>
      <rPr>
        <sz val="11"/>
        <rFont val="Calibri"/>
        <family val="2"/>
      </rPr>
      <t>उपयोग के योग्‍य अनुमानित जल संसाधन</t>
    </r>
  </si>
  <si>
    <t xml:space="preserve">     (ii)   Ground Water Resources</t>
  </si>
  <si>
    <t xml:space="preserve">     (i)  Per Capita Water Availability (2001) in cubic 
       metres</t>
  </si>
  <si>
    <r>
      <t xml:space="preserve">(MCM/एमसीएम)  </t>
    </r>
    <r>
      <rPr>
        <sz val="11"/>
        <color theme="0"/>
        <rFont val="Calibri"/>
        <family val="2"/>
        <scheme val="minor"/>
      </rPr>
      <t xml:space="preserve"> . </t>
    </r>
  </si>
  <si>
    <r>
      <rPr>
        <b/>
        <sz val="11"/>
        <rFont val="Calibri"/>
        <family val="2"/>
        <scheme val="minor"/>
      </rPr>
      <t>Source :</t>
    </r>
    <r>
      <rPr>
        <sz val="11"/>
        <rFont val="Calibri"/>
        <family val="2"/>
        <scheme val="minor"/>
      </rPr>
      <t xml:space="preserve">  Central Water Commission  / स्रोत: केंद्रीय जल आयोग</t>
    </r>
  </si>
  <si>
    <t>S.No.
क्र. सं.</t>
  </si>
  <si>
    <t xml:space="preserve">
S.No.
क्र. सं.</t>
  </si>
  <si>
    <t>2019-20</t>
  </si>
  <si>
    <t xml:space="preserve">Subernarekha 
सुवर्णरेखा </t>
  </si>
  <si>
    <t>( As on 04.03.2021)</t>
  </si>
  <si>
    <t xml:space="preserve">Average Annual Precipitation </t>
  </si>
  <si>
    <t>औसत वार्षिक उपलब्धता</t>
  </si>
  <si>
    <t xml:space="preserve">औसत वार्षिक वर्षण </t>
  </si>
  <si>
    <t>3880 BCM</t>
  </si>
  <si>
    <t>1999.2 BCM</t>
  </si>
  <si>
    <t>Total Annual Utilizable Water Resources</t>
  </si>
  <si>
    <t>1122 BCM</t>
  </si>
  <si>
    <t>Central Buckingam Canal</t>
  </si>
  <si>
    <t xml:space="preserve">हिमाचल प्रदेश </t>
  </si>
  <si>
    <t>(1)</t>
  </si>
  <si>
    <t>(2)</t>
  </si>
  <si>
    <t>(3)</t>
  </si>
  <si>
    <t>(4)</t>
  </si>
  <si>
    <t>(5)</t>
  </si>
  <si>
    <t>(6)</t>
  </si>
  <si>
    <t>(7)=(3+4+5+6)</t>
  </si>
  <si>
    <t>(8)</t>
  </si>
  <si>
    <t>(9)</t>
  </si>
  <si>
    <t>(10)</t>
  </si>
  <si>
    <t>(11)=(9+10)</t>
  </si>
  <si>
    <t>(12)</t>
  </si>
  <si>
    <t>(13)</t>
  </si>
  <si>
    <t>(14)=(11/8)</t>
  </si>
  <si>
    <t>(in MCM)</t>
  </si>
  <si>
    <t xml:space="preserve">Andaman &amp; Nicobar Basin </t>
  </si>
  <si>
    <t xml:space="preserve">Area of North Ladakha not draining into Indus Basin </t>
  </si>
  <si>
    <t xml:space="preserve">Barak &amp; Other Basin </t>
  </si>
  <si>
    <t xml:space="preserve">Brahmani &amp; Baitarani basin </t>
  </si>
  <si>
    <t xml:space="preserve">Brahmhaputra basin </t>
  </si>
  <si>
    <t xml:space="preserve">Cauvery basin </t>
  </si>
  <si>
    <t xml:space="preserve">Drainage Area of Lakshadweep Islands Basin </t>
  </si>
  <si>
    <t xml:space="preserve">East flowing rivers between Godavari and Krishna Basin </t>
  </si>
  <si>
    <t xml:space="preserve">East flowing rivers between Krishna and Pennar Basin </t>
  </si>
  <si>
    <t xml:space="preserve">East flowing rivers between Mahanadi and Godavari Basin </t>
  </si>
  <si>
    <t xml:space="preserve">East flowing rivers between Pennar and Cauvery Basin </t>
  </si>
  <si>
    <t xml:space="preserve">East flowing rivers South of Cauvery Basin </t>
  </si>
  <si>
    <t xml:space="preserve">Ganga basin </t>
  </si>
  <si>
    <t xml:space="preserve">Godavari basin </t>
  </si>
  <si>
    <t xml:space="preserve">Indus (Up to border) Basin </t>
  </si>
  <si>
    <t xml:space="preserve">Krishna basin </t>
  </si>
  <si>
    <t xml:space="preserve">Mahanadi basin </t>
  </si>
  <si>
    <t xml:space="preserve">Mahi basin </t>
  </si>
  <si>
    <t xml:space="preserve">Minor rivers draining into Bangladesh Basin </t>
  </si>
  <si>
    <t xml:space="preserve">Minor rivers draining into Myanmar Basin </t>
  </si>
  <si>
    <t xml:space="preserve">Narmada basin  </t>
  </si>
  <si>
    <t xml:space="preserve">Pennar Basin </t>
  </si>
  <si>
    <t xml:space="preserve">Sabarmati Basin </t>
  </si>
  <si>
    <t xml:space="preserve">Subarnarekha Basin </t>
  </si>
  <si>
    <t xml:space="preserve">Tapi Basin </t>
  </si>
  <si>
    <t xml:space="preserve">West flowing rivers of Kutch and Saurashtra including Luni Basin </t>
  </si>
  <si>
    <t xml:space="preserve">West flowing rivers South of Tapi Basin </t>
  </si>
  <si>
    <t>Extraction due to Domestic and Industrial Needs घरेलू और औद्योगिक आवश्यकताओं के कारण निकासी</t>
  </si>
  <si>
    <t>घाटी/ राज्य/ जिला</t>
  </si>
  <si>
    <t xml:space="preserve">Basin/State/District </t>
  </si>
  <si>
    <t>S. No.
 क्र. सं.</t>
  </si>
  <si>
    <t xml:space="preserve">Total Annual Recharge कुल वार्षिक पुनर्भरण </t>
  </si>
  <si>
    <t>अंडमान और निकोबार घाटी</t>
  </si>
  <si>
    <t>बराक और अन्य बेसिन</t>
  </si>
  <si>
    <t>ब्राह्मणी &amp; बैतरनी बेसिन</t>
  </si>
  <si>
    <t>ब्रह्मपुत्र बेसिन</t>
  </si>
  <si>
    <t>कावेरी बेसिन</t>
  </si>
  <si>
    <t>लक्षद्वीप द्वीप समूह बेसिन का जल निकासी क्षेत्र</t>
  </si>
  <si>
    <t>गोदावरी और कृष्णा बेसिन के बीच पूर्व में बहने वाली नदियाँ</t>
  </si>
  <si>
    <t>कृष्णा और पेन्नार बेसिन के बीच पूर्व में बहने वाली नदियाँ</t>
  </si>
  <si>
    <t>महानदी और गोदावरी बेसिन के बीच पूर्व में बहने वाली नदियाँ</t>
  </si>
  <si>
    <t>पेन्नार और कावेरी बेसिन के बीच पूर्व में बहने वाली नदियाँ</t>
  </si>
  <si>
    <t>पूर्वी बहने वाली नदियाँ कावेरी बेसिन के दक्षिण में</t>
  </si>
  <si>
    <t>गोदावरी बेसिन</t>
  </si>
  <si>
    <t>गंगा  बेसिन</t>
  </si>
  <si>
    <t>सिंधु (सीमा तक) बेसिन</t>
  </si>
  <si>
    <t xml:space="preserve">
कृष्णा बेसिन</t>
  </si>
  <si>
    <t>महानदी बेसिन</t>
  </si>
  <si>
    <t>माही बेसिन</t>
  </si>
  <si>
    <t>बांग्लादेश बेसिन में बहने वाली छोटी नदियाँ</t>
  </si>
  <si>
    <t>म्यांमार बेसिन में बहने वाली छोटी नदियाँ</t>
  </si>
  <si>
    <t>नर्मदा बेसिन</t>
  </si>
  <si>
    <t>पेन्नर बेसिन</t>
  </si>
  <si>
    <t>साबरमती बेसिन</t>
  </si>
  <si>
    <t>सुवर्णरेखा बेसिन</t>
  </si>
  <si>
    <t>तापी बेसन</t>
  </si>
  <si>
    <t>लुनी बेसिन सहित कच्छ और सौराष्ट्र की पश्चिम बहने वाली नदियाँ</t>
  </si>
  <si>
    <t>तापी बेसिन के दक्षिण में बहने वाली पश्चिम की नदियाँ</t>
  </si>
  <si>
    <t>Monsoon Season
 मानसून काल</t>
  </si>
  <si>
    <t>Non-Monsoon Season 
गैर मानसून काल</t>
  </si>
  <si>
    <t>Total Annual Extraction from all needs
 सभी आवश्यकताओं से कुल वार्षिक निकासी</t>
  </si>
  <si>
    <t>Extraction due to Irrigation Needs 
सिंचाई आवश्यकताओं के कारण निकासी</t>
  </si>
  <si>
    <t xml:space="preserve"> Projected Demand for Domestic needs as on Year 2025
 वर्ष 2025 तक घरेलू जरूरतों के लिए प्रक्षेपित मांग</t>
  </si>
  <si>
    <t>Allocation for Future Use 
भविष्य के उपयोग के लिए आवंटन</t>
  </si>
  <si>
    <t>State of Extraction
 भौमजल निष्कर्षण का स्तर (प्रतिशत)</t>
  </si>
  <si>
    <t>Annual Extractable Resources 
वार्षिक निष्कर्षण संसाधन</t>
  </si>
  <si>
    <t xml:space="preserve">Recharge Due to Other Sources during non- monsoon Season 
गैर मानसून काल में  अन्य स्रोतों के कारण पुनर्भरण </t>
  </si>
  <si>
    <t>Recharge Due to Rainfall during non-monsoon Season 
गैर मानसून काल में  वर्षा के कारण पुनर्भरण</t>
  </si>
  <si>
    <t xml:space="preserve">Recharge Due to Other Sources during monsoon Season  
मानसून काल में अन्य स्रोतों के कारण पुनर्भरण </t>
  </si>
  <si>
    <t xml:space="preserve">Recharge Due to Rainfall during monsoon Season 
मानसून काल में  बारिश के कारण पुनर्भरण </t>
  </si>
  <si>
    <t xml:space="preserve"> Sitewise Monsoon, Non-Monsoon &amp; Annual flow of water from 2005-06 to 2015-16</t>
  </si>
  <si>
    <t>A&amp;N Islands</t>
  </si>
  <si>
    <t xml:space="preserve">  अंडमान एवं निकोबार द्वीप   समूह</t>
  </si>
  <si>
    <t>D.&amp; N. Haveli</t>
  </si>
  <si>
    <t xml:space="preserve">  दमन और दीव</t>
  </si>
  <si>
    <t>स्रोत : मत्स्यपालन, पशुपालन और डेयरी मंत्रालय, राज्‍य/संघ राज्‍य क्षेत्र के पशुपालन विभाग</t>
  </si>
  <si>
    <r>
      <rPr>
        <sz val="12"/>
        <rFont val="Calibri"/>
        <family val="2"/>
        <scheme val="minor"/>
      </rPr>
      <t xml:space="preserve">(Year / वर्ष 2019-20)     </t>
    </r>
    <r>
      <rPr>
        <b/>
        <sz val="12"/>
        <rFont val="Calibri"/>
        <family val="2"/>
        <scheme val="minor"/>
      </rPr>
      <t xml:space="preserve">                       </t>
    </r>
  </si>
  <si>
    <t>Statement 2.61 : Water Resource Availability in River Basins of India</t>
  </si>
  <si>
    <t>विवरण 2.61 : भारत की नदी बेसिन में जल की उपलब्धता</t>
  </si>
  <si>
    <t>Statement 2.60 (b): Storage Status of Reservoirs of the Country</t>
  </si>
  <si>
    <t>Statement 2.59 (b):  State- Wise ground water resources, India 2017</t>
  </si>
  <si>
    <t xml:space="preserve">Statement  2.57: Water flow in stream </t>
  </si>
  <si>
    <t xml:space="preserve">विवरण 2.57 : धारा में जल प्रवाह </t>
  </si>
  <si>
    <t>Jammu &amp; Kashmir*</t>
  </si>
  <si>
    <t>*unified data of Jammu &amp; Kashmir and Ladakh</t>
  </si>
  <si>
    <t>विवरण 2.59 (ख) :  राज्‍यवार भौमजल संसाधन, भारत 2017</t>
  </si>
  <si>
    <t>विवरण 2.60 (क): देश के जलाशयों के बेसिन-वार भंडारण की स्थिति</t>
  </si>
  <si>
    <t>*Unified data of Jammu &amp; Kashmir and Ladakh</t>
  </si>
  <si>
    <t>Source: Basin Planning (BP) Directorate, Central Water Commission</t>
  </si>
  <si>
    <t>स्रोत: बेसिन योजना निदेशालय, केंद्रीय जल आयोग</t>
  </si>
  <si>
    <t>Statement 2.60 (a) : Basin-wise Storage Status of Reservoirs of the Country</t>
  </si>
  <si>
    <t>विवरण 2.60 (ख): देश के जलाशयों की भंडारण स्थिति</t>
  </si>
  <si>
    <t>Total कुल</t>
  </si>
  <si>
    <t xml:space="preserve">   वयस्क मादा भैंस**</t>
  </si>
  <si>
    <t xml:space="preserve">  कुत्ते</t>
  </si>
  <si>
    <t>Source : Ministry of Fisheries, Animal Husbandry and Dairying</t>
  </si>
  <si>
    <t>उत्तरी लद्दाख का क्षेत्र जो सिंधु बेसिन में नहीं बहता</t>
  </si>
  <si>
    <t>(i)  प्रति व्‍यक्ति जल उपलब्‍धता (2011 जनगणना)  घनमीटर में</t>
  </si>
  <si>
    <t>MCM: Million Cubic Meter.</t>
  </si>
  <si>
    <t>Jammu and Kashmir</t>
  </si>
  <si>
    <t>Ladakh</t>
  </si>
  <si>
    <r>
      <rPr>
        <sz val="10"/>
        <rFont val="Calibri"/>
        <family val="2"/>
      </rPr>
      <t>NOTE-Data on Ground Water Extraction for Industries is not available for Karnataka, Punjab &amp; Uttar Pradesh and is  available only for 2 districts of Maharashtra.</t>
    </r>
  </si>
  <si>
    <t xml:space="preserve">  लद्दाख</t>
  </si>
  <si>
    <t>2020-21</t>
  </si>
  <si>
    <t>27**</t>
  </si>
  <si>
    <t>लद्दाख</t>
  </si>
  <si>
    <t>*: Provisional</t>
  </si>
  <si>
    <t>1545 Cu.M</t>
  </si>
  <si>
    <t>in BCM</t>
  </si>
  <si>
    <t>Ganga- Brahmaputra-Meghna</t>
  </si>
  <si>
    <t>West Flowing  Rivers  from Tapi to
Tadri</t>
  </si>
  <si>
    <t>West Flowing Rivers from Tadri to
Kanyakumari</t>
  </si>
  <si>
    <t>East    Flowing    Rivers    between
Mahanadi &amp; Pennar</t>
  </si>
  <si>
    <t>East    Flowing    Rivers    between
Pennar and Kanyakumari</t>
  </si>
  <si>
    <t>West Flowing Rivers of Kutch and
Saurashtra including Luni</t>
  </si>
  <si>
    <t>Area    of    Inland    drainage     in
Rajasthan</t>
  </si>
  <si>
    <t>Minor      River      Draining      into
Myanmar (Burma) &amp; Bangladesh</t>
  </si>
  <si>
    <t xml:space="preserve"> Sitewise Monsoon, Non-Monsoon &amp; Annual flow of water from 2010-2011 to 2019-2020</t>
  </si>
  <si>
    <t>राजस्थान  रेगिस्तान में अंतर्देशीय जल निकासी का क्षेत्र</t>
  </si>
  <si>
    <t>( As on 24.02.2022)</t>
  </si>
  <si>
    <t>Statement 2.60 (a): Basin- Wise dynamic ground water resources, India 2017</t>
  </si>
  <si>
    <t>विवरण 2.60  (क) घाट के अनुसार भौमजल संसाधन, भारत 2017</t>
  </si>
  <si>
    <t>Source : Ministry of Fisheries, Animal Husbandry and Dairying, State/UT Animal Husbandry Departments</t>
  </si>
  <si>
    <t>(in Ham)</t>
  </si>
  <si>
    <t xml:space="preserve">Source: Central Ground Water Board, Dynamic Ground Water Resources of India, (as on March, 2020) </t>
  </si>
  <si>
    <t xml:space="preserve">स्रोत: केंद्रीय भौमजल बोर्ड, भारत के गतिशील भौमजल संसाधन ( मार्च, 2020 की स्थिति के अनुसार) </t>
  </si>
  <si>
    <t>Ham: Hectare meter</t>
  </si>
  <si>
    <t>Note: Dynamic Ground Water resources of unclassified basins of India (in Ham) as on March 2020</t>
  </si>
  <si>
    <t>Population considered of 2011 Census</t>
  </si>
  <si>
    <t>Per Capita Water Availability for population in cubic metres</t>
  </si>
  <si>
    <t>`- Indicates Nil/NA/0</t>
  </si>
  <si>
    <t>आंध्र प्रदेश</t>
  </si>
  <si>
    <t>तमिलनाडु</t>
  </si>
  <si>
    <t># : The stage of Ground water development is to be computed as : E/N (Where  E: Existing Gross draft (Col. 13) for all uses and N: Net annual availability (Col. 9).)</t>
  </si>
  <si>
    <t>Source: Report of the Standing Sub-Committee on "Assessment of Availability &amp; requirement of Water for Diverse uses-2000", Basin Planning Directorate, CWC, XI Plan Document./ Report of National Commission on Integrated Water Resources Development, 1999</t>
  </si>
  <si>
    <t>स्रोत: "विविध प्रयोगों के लिए पानी की उपलब्‍धता एवं आवश्‍यकता का आकलन-2000" पर स्‍थाई उप समिति की रिपोर्ट, घाटी आयोजना निदेशालय, केंद्रीय जल आयोग, XIवीं योजना दस्‍तावेज़/ एकीकृत जल संसाधन विकास पर राष्ट्रीय आयोग की रिपोर्ट, 1999</t>
  </si>
  <si>
    <t>Blank cell denote Not Available.</t>
  </si>
  <si>
    <t xml:space="preserve">क्र. सं.
S.No.
</t>
  </si>
  <si>
    <t xml:space="preserve"> अखिल भारतीय जनगणना के अनुमान (संख्‍या मिलियन में)
All India census  estimates (in Million Numbers) </t>
  </si>
  <si>
    <t>क्र. सं.
S.No.</t>
  </si>
  <si>
    <t xml:space="preserve">
क्र. सं.
S.No.</t>
  </si>
  <si>
    <t xml:space="preserve">वध किए गए पशु (संख्‍या 000 में)
Animal Slaughtered (In 000 nos.)
</t>
  </si>
  <si>
    <t xml:space="preserve">मांस उत्‍पादन (000 टन में)
Meat Production (In 000 tons) 
</t>
  </si>
  <si>
    <t xml:space="preserve">  Total</t>
  </si>
  <si>
    <t xml:space="preserve">मवेशी
Cattle 
</t>
  </si>
  <si>
    <t xml:space="preserve">भैंस
Buffalo
</t>
  </si>
  <si>
    <t xml:space="preserve">भेड़
  Sheep
</t>
  </si>
  <si>
    <t xml:space="preserve">बकरी
Goat
</t>
  </si>
  <si>
    <t xml:space="preserve">सुअर
Pig
</t>
  </si>
  <si>
    <t xml:space="preserve">मुर्गीपालन
Poultry 
</t>
  </si>
  <si>
    <r>
      <rPr>
        <sz val="12"/>
        <rFont val="Calibri"/>
        <family val="2"/>
        <scheme val="minor"/>
      </rPr>
      <t xml:space="preserve">( वर्ष/Year  2020-21*)     </t>
    </r>
    <r>
      <rPr>
        <b/>
        <sz val="12"/>
        <rFont val="Calibri"/>
        <family val="2"/>
        <scheme val="minor"/>
      </rPr>
      <t xml:space="preserve">                       </t>
    </r>
  </si>
  <si>
    <t>(लाख टन में/in lakh tonnes)</t>
  </si>
  <si>
    <t xml:space="preserve">वर्ष
 Year
</t>
  </si>
  <si>
    <t xml:space="preserve">समुद्री
Marine
</t>
  </si>
  <si>
    <t xml:space="preserve">अंतर्देशीय
Inland
</t>
  </si>
  <si>
    <t xml:space="preserve">कुल
 Total
</t>
  </si>
  <si>
    <t>स्रोत : मत्स्यपालन, पशुपालन और डेयरी मंत्रालय
Source : Ministry of Fisheries, Animal Husbandry and Dairying</t>
  </si>
  <si>
    <t xml:space="preserve"> कुल</t>
  </si>
  <si>
    <t xml:space="preserve"> Total</t>
  </si>
  <si>
    <t xml:space="preserve">पशुधन और पशुधन उत्पाद
Livestock and Livestock Products
</t>
  </si>
  <si>
    <t xml:space="preserve">पशु
Livestock
</t>
  </si>
  <si>
    <t xml:space="preserve">मांस और खाद्य मांस
Meat and Edible Meat Offal
</t>
  </si>
  <si>
    <t xml:space="preserve">डेयरी और पोल्ट्री उत्पाद और शहद
Dairy and Poultry Products and Honey
</t>
  </si>
  <si>
    <t xml:space="preserve">पशु चारा और चारा
Animal Fodder and Feed
</t>
  </si>
  <si>
    <t xml:space="preserve">कच्चे खाल और चमड़ा
Raw hide and skins &amp; leather
</t>
  </si>
  <si>
    <t xml:space="preserve">कच्चे ऊन और पशु बाल
Raw Wool and Animal Hair
</t>
  </si>
  <si>
    <t xml:space="preserve">कुल पशुधन और पशुधन उत्पादTotal Livestock &amp; Livestock Products
</t>
  </si>
  <si>
    <t xml:space="preserve">समुद्री उत्पाद
Marine Products
</t>
  </si>
  <si>
    <t xml:space="preserve">कुल समुद्री उत्पाद
Total Marine Products
</t>
  </si>
  <si>
    <t>स्रोत : मत्स्यपालन, पशुपालन और डेयरी मंत्रालय
Source :  Ministry of Fisheries, Animal Husbandry and Dairying</t>
  </si>
  <si>
    <t>पशुधन और पशुधन उत्पाद
Livestock and Livestock Products</t>
  </si>
  <si>
    <t>समुद्री उत्पाद
Marine Products</t>
  </si>
  <si>
    <t xml:space="preserve">कुल
Total
</t>
  </si>
  <si>
    <t xml:space="preserve">मात्रा
Quantity 
        </t>
  </si>
  <si>
    <t xml:space="preserve">           Total</t>
  </si>
  <si>
    <t xml:space="preserve">लूणी सहित साबरमती, कच्छ की पश्चिम की ओर बहने वाली नदियां </t>
  </si>
  <si>
    <t>सिंधु (सीमा तक)</t>
  </si>
  <si>
    <t xml:space="preserve">औसत वार्षिक उपलब्‍धता (घन किलोमीटर प्रतिवर्ष)$
Average Annual Availability (cubic km/year) 
</t>
  </si>
  <si>
    <t xml:space="preserve">अनुमानित जनसंख्या (Million/मिलियन) #
Estimated population 
</t>
  </si>
  <si>
    <t xml:space="preserve">प्रति व्यक्ति औसत जल उपलब्धता का अनुमान (cum)
Estimated per Capita Average Water Availability 
</t>
  </si>
  <si>
    <t xml:space="preserve">जल संसाधन, नदी विकास एवं गंगा उद्धार मंत्रालय की स्‍थाई उप समिति
Standing  Sub-Committee of  MoWRRDGR 
</t>
  </si>
  <si>
    <t xml:space="preserve">पानी की मांग बीसीएम में 
Water Demand in  BCM 
</t>
  </si>
  <si>
    <t xml:space="preserve">एनसीआईडब्ल्यूआरडी
 NCIWRD
</t>
  </si>
  <si>
    <t xml:space="preserve"> (विभिन्‍न प्रयोग के अनुसार/By Different Use)</t>
  </si>
  <si>
    <t xml:space="preserve">निम्न
Low 
</t>
  </si>
  <si>
    <t xml:space="preserve">उच्‍च
High 
</t>
  </si>
  <si>
    <t xml:space="preserve"> औसत#
 Average#
</t>
  </si>
  <si>
    <t xml:space="preserve">न्‍यूनतम#
Minimum# 
</t>
  </si>
  <si>
    <t xml:space="preserve">अधिकतम#
Maximum#  
</t>
  </si>
  <si>
    <t xml:space="preserve">मानसून
Monsoon
</t>
  </si>
  <si>
    <t xml:space="preserve">गैर मानसून
Non-Monsoon 
</t>
  </si>
  <si>
    <t xml:space="preserve">वार्षिक
Annual
</t>
  </si>
  <si>
    <r>
      <t xml:space="preserve">(एमसीएम/MCM)  </t>
    </r>
    <r>
      <rPr>
        <sz val="11"/>
        <color theme="0"/>
        <rFont val="Calibri"/>
        <family val="2"/>
        <scheme val="minor"/>
      </rPr>
      <t xml:space="preserve"> . </t>
    </r>
  </si>
  <si>
    <t>स्रोत : समेकित जलविज्ञानी डाटा बुक, केंद्रीय जल आयोग
Source : Intergrated Hydrological Data Book,CWC</t>
  </si>
  <si>
    <t xml:space="preserve"> मानसून काल
Monsoon Season
</t>
  </si>
  <si>
    <t xml:space="preserve">गैर मानसून काल
Non-Monsoon Season 
</t>
  </si>
  <si>
    <t xml:space="preserve">मानसून काल में  बारिश के कारण पुनर्भरण
Recharge Due to Rainfall during monsoon Season 
 </t>
  </si>
  <si>
    <t xml:space="preserve">मानसून काल में अन्य स्रोतों के कारण पुनर्भरण 
Recharge Due to Other Sources during monsoon Season  
</t>
  </si>
  <si>
    <t xml:space="preserve">कुल वार्षिक पुनर्भरण 
Total Annual Recharge 
</t>
  </si>
  <si>
    <t xml:space="preserve">वार्षिक निष्कर्षण संसाधन
Annual Extractable Resources 
</t>
  </si>
  <si>
    <t xml:space="preserve">सिंचाई आवश्यकताओं के लिए निकासी
Extraction for Irrigation Needs 
</t>
  </si>
  <si>
    <t xml:space="preserve">घरेलू और औद्योगिक आवश्यकताओं के लिए निकासी
Extraction for Domestic and Industrial Needs 
</t>
  </si>
  <si>
    <t xml:space="preserve"> सभी आवश्यकताओं के लिए कुल वार्षिक निकासी
Total Annual Extraction for all needs
</t>
  </si>
  <si>
    <t xml:space="preserve">वर्ष 2025 तक घरेलू जरूरतों के लिए प्रक्षेपित मांग
 Projected Demand for Domestic needs as on Year 2025
 </t>
  </si>
  <si>
    <t xml:space="preserve">भविष्य के उपयोग के लिए आवंटन
Allocation for Future Use 
</t>
  </si>
  <si>
    <t xml:space="preserve">भौमजल निष्कर्षण का स्तर (प्रतिशत)
State of Extraction
 </t>
  </si>
  <si>
    <t xml:space="preserve">यूनिट : बीसीएम प्रतिवर्ष/Unit:BCM/Yr </t>
  </si>
  <si>
    <t xml:space="preserve">वार्षिक भरणीय भौमजल संसाधन 
Annual Replenishable  Ground Water Resources 
</t>
  </si>
  <si>
    <t xml:space="preserve">मानसून काल
Monsoon  Season
</t>
  </si>
  <si>
    <t xml:space="preserve">गैर मानसून काल
Non-monsoon Season
</t>
  </si>
  <si>
    <t xml:space="preserve">वर्षा से पुनर्भरण
Recharge from rainfall 
</t>
  </si>
  <si>
    <t xml:space="preserve">अन्‍य स्रोतों से पुनर्भरण
Recharge from other sources 
</t>
  </si>
  <si>
    <t xml:space="preserve">वर्षा से पुनर्भरण
Recharge from rainfall
</t>
  </si>
  <si>
    <t xml:space="preserve">अन्‍य स्रोतों से पुनर्भरण
Recharge from other source 
</t>
  </si>
  <si>
    <t xml:space="preserve">कुल
Total 
</t>
  </si>
  <si>
    <t xml:space="preserve">मानसून से भिन्‍न मौसम के दौरान प्राकृतिक विसर्जन 
Natural Dischage during non-monsoon season 
</t>
  </si>
  <si>
    <t xml:space="preserve">भौमजल की निवल वार्षिक उपलब्धता
Net Annual Ground Water Availability 
</t>
  </si>
  <si>
    <t xml:space="preserve">वार्षिक भौमजल ड्राफ्ट 
Annual Ground  Water Draft 
</t>
  </si>
  <si>
    <t xml:space="preserve">सिंचाई
Irrigation
</t>
  </si>
  <si>
    <t xml:space="preserve">औद्योगिक प्रयोग
  Industrial uses 
</t>
  </si>
  <si>
    <t xml:space="preserve">घरेलू प्रयोग
Domestic Uses </t>
  </si>
  <si>
    <t xml:space="preserve">तक घरेलू एवं औद्योगिक प्रयोगों के लिए प्रक्षेपित मांग
Projected Demand for Domestic and Industrial uses upto
 2025
 </t>
  </si>
  <si>
    <t xml:space="preserve">भावी सिंचाई के लिए भौमजल उपलब्धता
Ground Water availability for future irrigation
</t>
  </si>
  <si>
    <t xml:space="preserve">#भौमजल विकास का स्तर (प्रतिशत)
#Stage of Ground Water Development (%)
</t>
  </si>
  <si>
    <t xml:space="preserve">संघ राज्‍य क्षेत्र </t>
  </si>
  <si>
    <t xml:space="preserve">कुल योग </t>
  </si>
  <si>
    <t>स्रोत:  भारत के गतिशील भौमजल संसाधन पर राष्ट्रीय संकलन, 2020 ,केंद्रीय भौमजल बोर्ड/Source: National Compilation on Dynamic Groundwater Resources of India, 2020, Central Ground Water Board</t>
  </si>
  <si>
    <t xml:space="preserve">वर्तमान साल
Current Year
</t>
  </si>
  <si>
    <t xml:space="preserve">पिछले साल
Last Year
</t>
  </si>
  <si>
    <t xml:space="preserve">अंतिम 10 साल का औसत
Last 10 Years Average
</t>
  </si>
  <si>
    <t xml:space="preserve">बेसिन का नाम
Name of Basin
</t>
  </si>
  <si>
    <t xml:space="preserve">एफआरएल (बीसीएम) में लाइव क्षमता
Live Capacity at FRL (BCM)
</t>
  </si>
  <si>
    <t xml:space="preserve">भंडारण (बीसीएम)
Storage (BCM)
</t>
  </si>
  <si>
    <t xml:space="preserve">एफआरएल पर लाइव क्षमता का% के रूप में संग्रहण
Storage as % of Live Capacity at FRL
</t>
  </si>
  <si>
    <r>
      <rPr>
        <b/>
        <sz val="11"/>
        <rFont val="Calibri"/>
        <family val="2"/>
        <scheme val="minor"/>
      </rPr>
      <t>स्रोत: केंद्रीय जल आयोग/ Source :</t>
    </r>
    <r>
      <rPr>
        <sz val="11"/>
        <rFont val="Calibri"/>
        <family val="2"/>
        <scheme val="minor"/>
      </rPr>
      <t xml:space="preserve">  Central Water Commission   </t>
    </r>
  </si>
  <si>
    <t xml:space="preserve">जलग्रहण क्षेत्र
Catchment Area$ (Sq.km) 
</t>
  </si>
  <si>
    <t xml:space="preserve">औसत जल संसाधन क्षमता
Average Water Resources Potential$
</t>
  </si>
  <si>
    <t xml:space="preserve">उपयोग योग्य सतही जल संसाधन
Utilisable Surface Water Resources#
</t>
  </si>
  <si>
    <t>स्रोत: बी पी- I निदेशालय, केंद्रीय जल आयोग /Source :  B.P.-I Directorate, Central Water Commission  
$: Reassessment  of Water Availability in India using Space Inputs, June 2019, CWC
# : Report  of the  Standing  Sub-Committee  for assessment  of availability  and requirement  of water for diverse uses in the country, August 2000
BCM : Billion Cubic Metres</t>
  </si>
  <si>
    <r>
      <rPr>
        <b/>
        <sz val="11"/>
        <color theme="1"/>
        <rFont val="Calibri"/>
        <family val="2"/>
        <scheme val="minor"/>
      </rPr>
      <t xml:space="preserve"> स्रोत: केंद्रीय जल आयोग /Source : </t>
    </r>
    <r>
      <rPr>
        <sz val="11"/>
        <color theme="1"/>
        <rFont val="Calibri"/>
        <family val="2"/>
        <scheme val="minor"/>
      </rPr>
      <t xml:space="preserve"> Central Water Commission </t>
    </r>
  </si>
  <si>
    <t xml:space="preserve">गंगा
Ganga
</t>
  </si>
  <si>
    <t xml:space="preserve">सुवर्णरेखा 
Subernarekha 
</t>
  </si>
  <si>
    <t xml:space="preserve">सिंधु
Indus
</t>
  </si>
  <si>
    <t xml:space="preserve">नर्मदा 
Narmada
</t>
  </si>
  <si>
    <t xml:space="preserve">तापी
Tapi
</t>
  </si>
  <si>
    <t xml:space="preserve">माही
MAHI
</t>
  </si>
  <si>
    <t xml:space="preserve">साबरमती
Sabarmati
</t>
  </si>
  <si>
    <t xml:space="preserve">कच्छ की नदियाँ
River of Kutch
</t>
  </si>
  <si>
    <t xml:space="preserve">गोदावरी
Godavari
</t>
  </si>
  <si>
    <t xml:space="preserve">कृष्णा
Krishna
</t>
  </si>
  <si>
    <t xml:space="preserve">महानदी और पड़ोसी पूर्व बहती नदियाँ
Mahanadi &amp; Neighbouring EFRS
</t>
  </si>
  <si>
    <t xml:space="preserve">कावेरी और पड़ोसी पूर्व बहती नदियाँ
Cauvery &amp; Neighbouring EFRS
</t>
  </si>
  <si>
    <t xml:space="preserve">दक्षिण की पश्चिम में  बहने वाली नदियाँ
West Flowing Rivers of South
</t>
  </si>
  <si>
    <t xml:space="preserve">कुल /Total
</t>
  </si>
  <si>
    <t>2021-22</t>
  </si>
  <si>
    <t>Dadra &amp; Nagar Haveli, Daman &amp; Diu</t>
  </si>
  <si>
    <t xml:space="preserve">B.P.-I Directorate, Central Water Commission-River basin-wise catchment area, average water resources potential and  utilisable water resources potential  </t>
  </si>
  <si>
    <t>438 BCM</t>
  </si>
  <si>
    <t xml:space="preserve">स्रोत: भारत के गतिशील भूजल संसाधन - 2022 ,बेसिन आयोजन-I निदेशालय/ केंद्रीय जल आयोग,  
Source: Dynamic Ground Water Resources of India - 2022, Central  Water Commission / Basin Planning- I Directorate </t>
  </si>
  <si>
    <t>( As on 23.02.2023)</t>
  </si>
  <si>
    <t>बिहार</t>
  </si>
  <si>
    <r>
      <rPr>
        <b/>
        <sz val="11"/>
        <rFont val="Calibri"/>
        <family val="2"/>
        <scheme val="minor"/>
      </rPr>
      <t>Note:</t>
    </r>
    <r>
      <rPr>
        <sz val="11"/>
        <rFont val="Calibri"/>
        <family val="2"/>
        <scheme val="minor"/>
      </rPr>
      <t xml:space="preserve">  The  coal resources of India are available in older Gondwana Formations of peninsular India and younger Tertiary formations of north- eastern region. Based  on the results of Regional Promotional Exploration, where the boreholes are normally placed 1-2 Km apart, the resources are classified into '</t>
    </r>
    <r>
      <rPr>
        <b/>
        <sz val="11"/>
        <rFont val="Calibri"/>
        <family val="2"/>
        <scheme val="minor"/>
      </rPr>
      <t>Indicated'</t>
    </r>
    <r>
      <rPr>
        <sz val="11"/>
        <rFont val="Calibri"/>
        <family val="2"/>
        <scheme val="minor"/>
      </rPr>
      <t xml:space="preserve"> or '</t>
    </r>
    <r>
      <rPr>
        <b/>
        <sz val="11"/>
        <rFont val="Calibri"/>
        <family val="2"/>
        <scheme val="minor"/>
      </rPr>
      <t>Inferred'</t>
    </r>
    <r>
      <rPr>
        <sz val="11"/>
        <rFont val="Calibri"/>
        <family val="2"/>
        <scheme val="minor"/>
      </rPr>
      <t xml:space="preserve"> category. Subsequent detailed exploration in selected  blocks, where boreholes are less than 400 meter apart,  upgrades the resources into more reliable '</t>
    </r>
    <r>
      <rPr>
        <b/>
        <sz val="11"/>
        <rFont val="Calibri"/>
        <family val="2"/>
        <scheme val="minor"/>
      </rPr>
      <t>Proved</t>
    </r>
    <r>
      <rPr>
        <sz val="11"/>
        <rFont val="Calibri"/>
        <family val="2"/>
        <scheme val="minor"/>
      </rPr>
      <t xml:space="preserve">' category
Total may not match due to rounding off. </t>
    </r>
  </si>
  <si>
    <t>स्रोत : कोयला नियंत्रक का कार्यालय, कोलकाता, कोयला मंत्रालय/Source : Office of the Coal Controller, Ministry of Coal</t>
  </si>
  <si>
    <t>Inferred</t>
  </si>
  <si>
    <t>अनुमानित</t>
  </si>
  <si>
    <t>Indicated</t>
  </si>
  <si>
    <t>उल्लिखित</t>
  </si>
  <si>
    <t>Proved</t>
  </si>
  <si>
    <t xml:space="preserve">Total    </t>
  </si>
  <si>
    <t>प्रमाणित</t>
  </si>
  <si>
    <t xml:space="preserve">      कुल </t>
  </si>
  <si>
    <t xml:space="preserve"> 2. Non-coking  
     (Including High  
      Sulphur)</t>
  </si>
  <si>
    <t>2.   गैर कोकिंग (उच्‍च सल्‍फर सहित)</t>
  </si>
  <si>
    <t>III. Blendable/ semi- 
coking</t>
  </si>
  <si>
    <t xml:space="preserve">  III  सम्मिश्रणीय/  सेमी कोकिंग</t>
  </si>
  <si>
    <t xml:space="preserve">    II.  Medium coking</t>
  </si>
  <si>
    <t>II  मीडियम कोकिंग</t>
  </si>
  <si>
    <t xml:space="preserve">    I.  Prime coking </t>
  </si>
  <si>
    <t xml:space="preserve"> I.  प्राइम कोकिंग</t>
  </si>
  <si>
    <t xml:space="preserve">    1. Coking</t>
  </si>
  <si>
    <t xml:space="preserve"> 1. कोकिंग </t>
  </si>
  <si>
    <t xml:space="preserve">Type of Coal
( As on 1st April of Year )       </t>
  </si>
  <si>
    <t xml:space="preserve"> कोयला का प्रकार        
 ( वर्ष के 1 अप्रैल की स्थिति)</t>
  </si>
  <si>
    <t>(मिलियन टन/Million tonnes)</t>
  </si>
  <si>
    <t>Blank figures indicate nil</t>
  </si>
  <si>
    <t>Inventory of resources as on 1st April of Year.</t>
  </si>
  <si>
    <t>(ii )   Singrimari coalfield of Assam (Non- coking) is included in Gondawana coalfield, not  considered in Tertiary coalfields.</t>
  </si>
  <si>
    <t>Note: (i) Data may not add up to respective total due to rounding off.</t>
  </si>
  <si>
    <t>India (Total)</t>
  </si>
  <si>
    <t>भारत का (कुल)</t>
  </si>
  <si>
    <t>Tertiary Coalfields
(Total)</t>
  </si>
  <si>
    <t>तृतीयक
कोयला क्षेत्र
(कुल)</t>
  </si>
  <si>
    <t xml:space="preserve">Nagaland </t>
  </si>
  <si>
    <t>नागालैंड
(तृतीयक)</t>
  </si>
  <si>
    <t xml:space="preserve">Meghalaya </t>
  </si>
  <si>
    <t>मेघालय
(तृतीयक)</t>
  </si>
  <si>
    <t>असम
(तृतीयक)</t>
  </si>
  <si>
    <t xml:space="preserve"> Arunachal Pradesh </t>
  </si>
  <si>
    <t xml:space="preserve">अरुणाचल प्रदेश </t>
  </si>
  <si>
    <t>Tertiary Coal Fields</t>
  </si>
  <si>
    <t>तृतीयक कोयला क्षेत्र</t>
  </si>
  <si>
    <t>Gondwana (Total)</t>
  </si>
  <si>
    <t>गोंडवाना
(कुल)</t>
  </si>
  <si>
    <t>पश्चिम
बंगाल</t>
  </si>
  <si>
    <t xml:space="preserve">Uttar Pradesh </t>
  </si>
  <si>
    <t xml:space="preserve">उत्तर प्रदेश </t>
  </si>
  <si>
    <t xml:space="preserve">सिक्किम </t>
  </si>
  <si>
    <t>ओडिशा</t>
  </si>
  <si>
    <t xml:space="preserve">Chhattisgarh </t>
  </si>
  <si>
    <t xml:space="preserve">छत्‍तीसगढ़ </t>
  </si>
  <si>
    <t xml:space="preserve">Madhya Pradesh </t>
  </si>
  <si>
    <t xml:space="preserve">मध्यप्रदेश </t>
  </si>
  <si>
    <t>झारखंड</t>
  </si>
  <si>
    <t>Gondwana Coal Fields</t>
  </si>
  <si>
    <t>गोंडवाना कोयला क्षेत्र</t>
  </si>
  <si>
    <t>Resources</t>
  </si>
  <si>
    <t>संसाधन</t>
  </si>
  <si>
    <t>QMT  : Quantiy in Million Tonnes.</t>
  </si>
  <si>
    <t>स्रोत : कोयला नियंत्रक का कार्यालय, कोलकाता, कोयला मंत्रालय (आंकड़े नैवेली लिग्‍नाइट कॉरपोरेशन लिमिटेड द्वारा संकलित किए गए हैं)
Source : Office of the Coal Controller, Ministry of Coal  (Figures compiled by Neyveli Lignite Corporation Ltd.)</t>
  </si>
  <si>
    <t>All India</t>
  </si>
  <si>
    <t>अखिल
भारत</t>
  </si>
  <si>
    <t>West
Bengal</t>
  </si>
  <si>
    <t>Tamil
Nadu</t>
  </si>
  <si>
    <t>राजस्थान</t>
  </si>
  <si>
    <t>पुद्दुचेरी</t>
  </si>
  <si>
    <t>केरल</t>
  </si>
  <si>
    <t>Jammu &amp;
Kashmir*</t>
  </si>
  <si>
    <t>जम्मू
एवं कश्मीर</t>
  </si>
  <si>
    <t>गुजरात</t>
  </si>
  <si>
    <t>Resources (QMT)</t>
  </si>
  <si>
    <t>वर्ष/Year</t>
  </si>
  <si>
    <t>संसाधन (क्यूएमटी)</t>
  </si>
  <si>
    <t>( as on 1st April / 1 अप्रैल की स्थिति के अनुसार)</t>
  </si>
  <si>
    <t>Note: Total Primary supply is estimated as sum of indiginous production, Net Import &amp; Stock Change. For simplicity, only stock change of pit head stock is taken.</t>
  </si>
  <si>
    <t>स्रोत : कोयला नियंत्रक का कार्यालय, कोलकाता, कोयला मंत्रालय
Source : Office of the Coal Controller, Ministry of Coal</t>
  </si>
  <si>
    <t>Lignite</t>
  </si>
  <si>
    <t>लिग्नाइट</t>
  </si>
  <si>
    <t>Coal</t>
  </si>
  <si>
    <t>कोयला</t>
  </si>
  <si>
    <t>Type</t>
  </si>
  <si>
    <t>Fuel</t>
  </si>
  <si>
    <t xml:space="preserve">कुल प्राथमिक
आपूर्ति
Total Primary
Supply
</t>
  </si>
  <si>
    <t xml:space="preserve">स्‍टॉक
परिवर्तन
Stock
Change
</t>
  </si>
  <si>
    <t xml:space="preserve">अंतिम
स्टॉक
Closing
Stock
</t>
  </si>
  <si>
    <t xml:space="preserve">प्रारंभिक
स्टॉक
Opening
Stock
</t>
  </si>
  <si>
    <t xml:space="preserve">निवल
आयात
Net
Imports
</t>
  </si>
  <si>
    <t xml:space="preserve">निर्यात
Exports
</t>
  </si>
  <si>
    <t xml:space="preserve">आयात
Imports
</t>
  </si>
  <si>
    <t xml:space="preserve">उत्‍पादन
Production
</t>
  </si>
  <si>
    <t>ईंधन
का
प्रकार</t>
  </si>
  <si>
    <t xml:space="preserve">वर्ष
Year
</t>
  </si>
  <si>
    <t xml:space="preserve">                                     (मिलियन टन/Million Tonnes)</t>
  </si>
  <si>
    <t xml:space="preserve">    </t>
  </si>
  <si>
    <t xml:space="preserve">                                              </t>
  </si>
  <si>
    <t>- : Not available</t>
  </si>
  <si>
    <t>स्रोत :  कोयला नियंत्रक का कार्यालय, कोलकाता, कोयला मंत्रालय /Source : Office of the Coal Controller, Ministry of Coal</t>
  </si>
  <si>
    <t>Total Non-Coking</t>
  </si>
  <si>
    <t>कुल गैर - कोकिंग</t>
  </si>
  <si>
    <t>उत्तर प्रदेश</t>
  </si>
  <si>
    <t>मेघालय</t>
  </si>
  <si>
    <t>मध्य प्रदेश</t>
  </si>
  <si>
    <t>जम्‍मू एवं कश्‍मीर*</t>
  </si>
  <si>
    <t>छत्तीसगढ़</t>
  </si>
  <si>
    <t>अरुणाचल प्रदेश</t>
  </si>
  <si>
    <t>Non-Coking</t>
  </si>
  <si>
    <t>गैर - कोकिंग</t>
  </si>
  <si>
    <t>Total Coking</t>
  </si>
  <si>
    <t>कुल कोकिंग</t>
  </si>
  <si>
    <t>Coking</t>
  </si>
  <si>
    <t>कोकिंग</t>
  </si>
  <si>
    <r>
      <t xml:space="preserve"> (मात्रा मिलियन टन/Quantity Million tonnes)     </t>
    </r>
    <r>
      <rPr>
        <sz val="10"/>
        <color theme="0"/>
        <rFont val="Calibri"/>
        <family val="2"/>
        <scheme val="minor"/>
      </rPr>
      <t xml:space="preserve">  .</t>
    </r>
  </si>
  <si>
    <t>II.</t>
  </si>
  <si>
    <t xml:space="preserve">मध्य प्रदेश </t>
  </si>
  <si>
    <t xml:space="preserve">झारखंड </t>
  </si>
  <si>
    <t>—</t>
  </si>
  <si>
    <t>छत्‍तीसगढ़</t>
  </si>
  <si>
    <t>I.</t>
  </si>
  <si>
    <t xml:space="preserve">2012-13      </t>
  </si>
  <si>
    <t xml:space="preserve">2010-11     </t>
  </si>
  <si>
    <t xml:space="preserve">2009-10  </t>
  </si>
  <si>
    <t xml:space="preserve">2008-09            </t>
  </si>
  <si>
    <t>2002-03</t>
  </si>
  <si>
    <t>2001-02</t>
  </si>
  <si>
    <t>2000-01</t>
  </si>
  <si>
    <t>1999-00</t>
  </si>
  <si>
    <t>1998-99</t>
  </si>
  <si>
    <t>1997-98</t>
  </si>
  <si>
    <t xml:space="preserve">राज्‍य </t>
  </si>
  <si>
    <t>(मिलियन टन /Million tonnes)</t>
  </si>
  <si>
    <t>BCM : Billion Cubic Meters</t>
  </si>
  <si>
    <t xml:space="preserve">P: Provisional </t>
  </si>
  <si>
    <t>MMT : Million Metric Tonnes</t>
  </si>
  <si>
    <t>स्रोत: पेट्रोलियम और प्राकृतिक गैस मंत्रालय /Source: Ministry of Petroleum and Natural Gas</t>
  </si>
  <si>
    <t xml:space="preserve">               Total (b)    </t>
  </si>
  <si>
    <t>₹ Billion</t>
  </si>
  <si>
    <t xml:space="preserve">  कुल (ख) </t>
  </si>
  <si>
    <t xml:space="preserve">              Petroleum Products</t>
  </si>
  <si>
    <t xml:space="preserve">  पेट्रोलियम उत्‍पाद </t>
  </si>
  <si>
    <t xml:space="preserve">              LNG</t>
  </si>
  <si>
    <t xml:space="preserve">  एलएनजी </t>
  </si>
  <si>
    <t>(b) Value: Crude Oil</t>
  </si>
  <si>
    <t xml:space="preserve">  (ख) मूल्‍य : कच्‍चा तेल</t>
  </si>
  <si>
    <t xml:space="preserve">             Total (a)    </t>
  </si>
  <si>
    <t>MMT</t>
  </si>
  <si>
    <t xml:space="preserve">  कुल (क) </t>
  </si>
  <si>
    <t xml:space="preserve">            Petroleum Products</t>
  </si>
  <si>
    <t>(a) Qty : Crude Oil</t>
  </si>
  <si>
    <t xml:space="preserve">  (क) मात्रा : कच्‍चा तेल </t>
  </si>
  <si>
    <t>(iii) Net Imports :</t>
  </si>
  <si>
    <r>
      <rPr>
        <b/>
        <sz val="11"/>
        <rFont val="Calibri"/>
        <family val="2"/>
        <scheme val="minor"/>
      </rPr>
      <t>(iii) निवल आयत :</t>
    </r>
  </si>
  <si>
    <t>(b) Value: Petroleum Products</t>
  </si>
  <si>
    <t xml:space="preserve">  (ख) मूल्‍य :  पेट्रोलियम उत्‍पाद </t>
  </si>
  <si>
    <t>(a) Qty : Petroleum Products</t>
  </si>
  <si>
    <t xml:space="preserve">  (क) मात्रा :  पेट्रोलियम उत्‍पाद </t>
  </si>
  <si>
    <t>(ii) Exports :</t>
  </si>
  <si>
    <t>(ii) निर्यात :</t>
  </si>
  <si>
    <t xml:space="preserve">              Total (b)    </t>
  </si>
  <si>
    <t xml:space="preserve">  (ख) मूल्‍य : कच्‍चा तेल </t>
  </si>
  <si>
    <t xml:space="preserve">              Total (a)    </t>
  </si>
  <si>
    <t>(i) Gross Imports :</t>
  </si>
  <si>
    <t>(i) सकल आयात :</t>
  </si>
  <si>
    <t>4. Imports &amp; Exports</t>
  </si>
  <si>
    <t>4. आयात एवं निर्यात</t>
  </si>
  <si>
    <t>(ii) Natural Gas</t>
  </si>
  <si>
    <t xml:space="preserve">  (ii) प्राकृतिक गैस</t>
  </si>
  <si>
    <t>(i)  Crude Oil</t>
  </si>
  <si>
    <t xml:space="preserve">  (i) कच्‍चा तेल</t>
  </si>
  <si>
    <r>
      <t>3. Reserves (Balance Recoverable) as on 31</t>
    </r>
    <r>
      <rPr>
        <b/>
        <vertAlign val="superscript"/>
        <sz val="11"/>
        <rFont val="Calibri"/>
        <family val="2"/>
        <scheme val="minor"/>
      </rPr>
      <t>st</t>
    </r>
    <r>
      <rPr>
        <b/>
        <sz val="11"/>
        <rFont val="Calibri"/>
        <family val="2"/>
        <scheme val="minor"/>
      </rPr>
      <t xml:space="preserve"> March</t>
    </r>
  </si>
  <si>
    <t>(iii) Petroleum Products</t>
  </si>
  <si>
    <t xml:space="preserve">  (iii) पेट्रोलियम उत्‍पाद </t>
  </si>
  <si>
    <t>(ii) Natural Gas (including LNG)</t>
  </si>
  <si>
    <t xml:space="preserve">  (ii) प्राकृतिक गैस (एलएनजी सहित)</t>
  </si>
  <si>
    <t>(i) Crude Oil ( in terms of refinery crude processed)</t>
  </si>
  <si>
    <t xml:space="preserve">  (i) कच्‍चा तेल (रिफाइनरी द्वारा प्रोसेस किए गए कच्‍चे तेल की दृष्टि से)</t>
  </si>
  <si>
    <t>2. Consumption</t>
  </si>
  <si>
    <t>2. खपत</t>
  </si>
  <si>
    <t xml:space="preserve">  (ii) प्राकृतिक गैस </t>
  </si>
  <si>
    <t xml:space="preserve">  (i) कच्‍चा तेल </t>
  </si>
  <si>
    <t xml:space="preserve">1. Production </t>
  </si>
  <si>
    <t>1. उत्‍पादन</t>
  </si>
  <si>
    <t>Item</t>
  </si>
  <si>
    <t>2021-22 (P)</t>
  </si>
  <si>
    <t xml:space="preserve">यूनिट
Unit  </t>
  </si>
  <si>
    <t xml:space="preserve"> मद     </t>
  </si>
  <si>
    <t>**Unified data of Jammu &amp; Kashmir and Ladakh</t>
  </si>
  <si>
    <t>Note:  Power Supply Position Report has been compiled based on the data furnished by State Utilities/ Electricity Departments.</t>
  </si>
  <si>
    <t>Note:  Power Supply Position Report has been compiled based on the data furnished by StateUtilities/ Electricity Departments.</t>
  </si>
  <si>
    <t>* Excludes the supply to Bangladesh.</t>
  </si>
  <si>
    <t xml:space="preserve">:#  Lakshadweep &amp; A &amp; N Islands are stand-alone systems, power supply position of these does not form part of regional requirement and availability. </t>
  </si>
  <si>
    <t>Note : Total may not tally</t>
  </si>
  <si>
    <t>DVC: Damodar Valley Corporation</t>
  </si>
  <si>
    <t>MW: Megawatt</t>
  </si>
  <si>
    <t xml:space="preserve">MU: Million unit </t>
  </si>
  <si>
    <t xml:space="preserve">स्रोत:  केंद्रीय विद्युत प्राधिकरण/Source :Central Electricity Authority  </t>
  </si>
  <si>
    <t xml:space="preserve">स्रोत:  केंद्रीय विद्युत प्राधिकरण  </t>
  </si>
  <si>
    <t xml:space="preserve"> Source :Central Electricity Authority  </t>
  </si>
  <si>
    <t>अखिल भारत</t>
  </si>
  <si>
    <r>
      <rPr>
        <b/>
        <sz val="11"/>
        <color rgb="FF0F233D"/>
        <rFont val="Calibri"/>
        <family val="2"/>
        <scheme val="minor"/>
      </rPr>
      <t>All</t>
    </r>
    <r>
      <rPr>
        <sz val="11"/>
        <color rgb="FF0F233D"/>
        <rFont val="Calibri"/>
        <family val="2"/>
        <scheme val="minor"/>
      </rPr>
      <t xml:space="preserve"> </t>
    </r>
    <r>
      <rPr>
        <b/>
        <sz val="11"/>
        <color rgb="FF0F233D"/>
        <rFont val="Calibri"/>
        <family val="2"/>
        <scheme val="minor"/>
      </rPr>
      <t>India</t>
    </r>
  </si>
  <si>
    <t>ALL  INDIA</t>
  </si>
  <si>
    <t>North-Eastern Region</t>
  </si>
  <si>
    <t>पूर्वोत्‍तर जोन</t>
  </si>
  <si>
    <r>
      <rPr>
        <b/>
        <sz val="11"/>
        <color rgb="FF0F233D"/>
        <rFont val="Calibri"/>
        <family val="2"/>
        <scheme val="minor"/>
      </rPr>
      <t>North-Eastern</t>
    </r>
    <r>
      <rPr>
        <sz val="11"/>
        <color rgb="FF0F233D"/>
        <rFont val="Calibri"/>
        <family val="2"/>
        <scheme val="minor"/>
      </rPr>
      <t xml:space="preserve"> </t>
    </r>
    <r>
      <rPr>
        <b/>
        <sz val="11"/>
        <color rgb="FF0F233D"/>
        <rFont val="Calibri"/>
        <family val="2"/>
        <scheme val="minor"/>
      </rPr>
      <t>Region</t>
    </r>
  </si>
  <si>
    <t>NORTH EAST REGION</t>
  </si>
  <si>
    <t>Tripura*</t>
  </si>
  <si>
    <t xml:space="preserve">  त्रिपुरा  *</t>
  </si>
  <si>
    <r>
      <rPr>
        <sz val="11"/>
        <color rgb="FF0F233D"/>
        <rFont val="Calibri"/>
        <family val="2"/>
        <scheme val="minor"/>
      </rPr>
      <t>Tripura *</t>
    </r>
  </si>
  <si>
    <t>Tripura  *</t>
  </si>
  <si>
    <t xml:space="preserve">  नागालैंड </t>
  </si>
  <si>
    <r>
      <rPr>
        <sz val="11"/>
        <color rgb="FF0F233D"/>
        <rFont val="Calibri"/>
        <family val="2"/>
        <scheme val="minor"/>
      </rPr>
      <t>Nagaland</t>
    </r>
  </si>
  <si>
    <r>
      <rPr>
        <sz val="11"/>
        <color rgb="FF0F233D"/>
        <rFont val="Calibri"/>
        <family val="2"/>
        <scheme val="minor"/>
      </rPr>
      <t>Mizoram</t>
    </r>
  </si>
  <si>
    <r>
      <rPr>
        <sz val="11"/>
        <color rgb="FF0F233D"/>
        <rFont val="Calibri"/>
        <family val="2"/>
        <scheme val="minor"/>
      </rPr>
      <t>Meghalaya</t>
    </r>
  </si>
  <si>
    <r>
      <rPr>
        <sz val="11"/>
        <color rgb="FF0F233D"/>
        <rFont val="Calibri"/>
        <family val="2"/>
        <scheme val="minor"/>
      </rPr>
      <t>Manipur</t>
    </r>
  </si>
  <si>
    <r>
      <rPr>
        <sz val="11"/>
        <color rgb="FF0F233D"/>
        <rFont val="Calibri"/>
        <family val="2"/>
        <scheme val="minor"/>
      </rPr>
      <t>Assam</t>
    </r>
  </si>
  <si>
    <t xml:space="preserve">  अरुणाचल प्रदेश </t>
  </si>
  <si>
    <r>
      <rPr>
        <sz val="11"/>
        <color rgb="FF0F233D"/>
        <rFont val="Calibri"/>
        <family val="2"/>
        <scheme val="minor"/>
      </rPr>
      <t>Arunachal Pradesh</t>
    </r>
  </si>
  <si>
    <t xml:space="preserve">Arunachal Pradesh </t>
  </si>
  <si>
    <t>पूर्वोत्‍तर क्षेत्र</t>
  </si>
  <si>
    <r>
      <rPr>
        <b/>
        <sz val="11"/>
        <color rgb="FF0F233D"/>
        <rFont val="Calibri"/>
        <family val="2"/>
        <scheme val="minor"/>
      </rPr>
      <t>Eastern</t>
    </r>
    <r>
      <rPr>
        <sz val="11"/>
        <color rgb="FF0F233D"/>
        <rFont val="Calibri"/>
        <family val="2"/>
        <scheme val="minor"/>
      </rPr>
      <t xml:space="preserve"> </t>
    </r>
    <r>
      <rPr>
        <b/>
        <sz val="11"/>
        <color rgb="FF0F233D"/>
        <rFont val="Calibri"/>
        <family val="2"/>
        <scheme val="minor"/>
      </rPr>
      <t>Region</t>
    </r>
  </si>
  <si>
    <t>EASTERN REGION</t>
  </si>
  <si>
    <t>Andaman &amp; Nicobar#</t>
  </si>
  <si>
    <t xml:space="preserve">  अंडमान एवं निकोबार दीप समूह#</t>
  </si>
  <si>
    <r>
      <rPr>
        <sz val="11"/>
        <color rgb="FF0F233D"/>
        <rFont val="Calibri"/>
        <family val="2"/>
        <scheme val="minor"/>
      </rPr>
      <t>Andaman &amp; Nicobar #</t>
    </r>
  </si>
  <si>
    <t>Andaman And  Nicobar Island #</t>
  </si>
  <si>
    <r>
      <rPr>
        <sz val="11"/>
        <color rgb="FF0F233D"/>
        <rFont val="Calibri"/>
        <family val="2"/>
        <scheme val="minor"/>
      </rPr>
      <t>Sikkim</t>
    </r>
  </si>
  <si>
    <r>
      <rPr>
        <sz val="11"/>
        <color rgb="FF0F233D"/>
        <rFont val="Calibri"/>
        <family val="2"/>
        <scheme val="minor"/>
      </rPr>
      <t>West Bengal</t>
    </r>
  </si>
  <si>
    <t xml:space="preserve">  ओडिसा</t>
  </si>
  <si>
    <r>
      <rPr>
        <sz val="11"/>
        <color rgb="FF0F233D"/>
        <rFont val="Calibri"/>
        <family val="2"/>
        <scheme val="minor"/>
      </rPr>
      <t>Odisha</t>
    </r>
  </si>
  <si>
    <r>
      <rPr>
        <sz val="11"/>
        <color rgb="FF0F233D"/>
        <rFont val="Calibri"/>
        <family val="2"/>
        <scheme val="minor"/>
      </rPr>
      <t>Jharkhand</t>
    </r>
  </si>
  <si>
    <t>Damodar Valley Corporation</t>
  </si>
  <si>
    <t xml:space="preserve">  डीवीसी</t>
  </si>
  <si>
    <r>
      <rPr>
        <sz val="11"/>
        <color rgb="FF0F233D"/>
        <rFont val="Calibri"/>
        <family val="2"/>
        <scheme val="minor"/>
      </rPr>
      <t>Damodar Valley Corporation</t>
    </r>
  </si>
  <si>
    <t>DVC</t>
  </si>
  <si>
    <r>
      <rPr>
        <sz val="11"/>
        <color rgb="FF0F233D"/>
        <rFont val="Calibri"/>
        <family val="2"/>
        <scheme val="minor"/>
      </rPr>
      <t>Bihar</t>
    </r>
  </si>
  <si>
    <t>दक्षिण क्षेत्र</t>
  </si>
  <si>
    <r>
      <rPr>
        <b/>
        <sz val="11"/>
        <color rgb="FF0F233D"/>
        <rFont val="Calibri"/>
        <family val="2"/>
        <scheme val="minor"/>
      </rPr>
      <t>Southern</t>
    </r>
    <r>
      <rPr>
        <sz val="11"/>
        <color rgb="FF0F233D"/>
        <rFont val="Calibri"/>
        <family val="2"/>
        <scheme val="minor"/>
      </rPr>
      <t xml:space="preserve"> </t>
    </r>
    <r>
      <rPr>
        <b/>
        <sz val="11"/>
        <color rgb="FF0F233D"/>
        <rFont val="Calibri"/>
        <family val="2"/>
        <scheme val="minor"/>
      </rPr>
      <t>Region</t>
    </r>
  </si>
  <si>
    <t>SOUTHERN REGION</t>
  </si>
  <si>
    <t>Lakshadweep#</t>
  </si>
  <si>
    <t xml:space="preserve">  लक्षद्वीप#</t>
  </si>
  <si>
    <r>
      <rPr>
        <sz val="11"/>
        <color rgb="FF0F233D"/>
        <rFont val="Calibri"/>
        <family val="2"/>
        <scheme val="minor"/>
      </rPr>
      <t>Lakshadweep #</t>
    </r>
  </si>
  <si>
    <t>Lakshadweep #</t>
  </si>
  <si>
    <r>
      <rPr>
        <sz val="11"/>
        <color rgb="FF0F233D"/>
        <rFont val="Calibri"/>
        <family val="2"/>
        <scheme val="minor"/>
      </rPr>
      <t>Puducherry</t>
    </r>
  </si>
  <si>
    <r>
      <rPr>
        <sz val="11"/>
        <color rgb="FF0F233D"/>
        <rFont val="Calibri"/>
        <family val="2"/>
        <scheme val="minor"/>
      </rPr>
      <t>Tamil Nadu</t>
    </r>
  </si>
  <si>
    <r>
      <rPr>
        <sz val="11"/>
        <color rgb="FF0F233D"/>
        <rFont val="Calibri"/>
        <family val="2"/>
        <scheme val="minor"/>
      </rPr>
      <t>Kerala</t>
    </r>
  </si>
  <si>
    <r>
      <rPr>
        <sz val="11"/>
        <color rgb="FF0F233D"/>
        <rFont val="Calibri"/>
        <family val="2"/>
        <scheme val="minor"/>
      </rPr>
      <t>Karnataka</t>
    </r>
  </si>
  <si>
    <r>
      <rPr>
        <sz val="11"/>
        <color rgb="FF0F233D"/>
        <rFont val="Calibri"/>
        <family val="2"/>
        <scheme val="minor"/>
      </rPr>
      <t>Telangana</t>
    </r>
  </si>
  <si>
    <t xml:space="preserve">  आंध्र प्रदेश  </t>
  </si>
  <si>
    <r>
      <rPr>
        <sz val="11"/>
        <color rgb="FF0F233D"/>
        <rFont val="Calibri"/>
        <family val="2"/>
        <scheme val="minor"/>
      </rPr>
      <t>Andhra Pradesh</t>
    </r>
  </si>
  <si>
    <t>पश्चिम क्षेत्र</t>
  </si>
  <si>
    <r>
      <rPr>
        <b/>
        <sz val="11"/>
        <color rgb="FF0F233D"/>
        <rFont val="Calibri"/>
        <family val="2"/>
        <scheme val="minor"/>
      </rPr>
      <t>Western</t>
    </r>
    <r>
      <rPr>
        <sz val="11"/>
        <color rgb="FF0F233D"/>
        <rFont val="Calibri"/>
        <family val="2"/>
        <scheme val="minor"/>
      </rPr>
      <t xml:space="preserve"> </t>
    </r>
    <r>
      <rPr>
        <b/>
        <sz val="11"/>
        <color rgb="FF0F233D"/>
        <rFont val="Calibri"/>
        <family val="2"/>
        <scheme val="minor"/>
      </rPr>
      <t>Region</t>
    </r>
  </si>
  <si>
    <t>WESTERN REGION</t>
  </si>
  <si>
    <r>
      <rPr>
        <sz val="11"/>
        <color rgb="FF0F233D"/>
        <rFont val="Calibri"/>
        <family val="2"/>
        <scheme val="minor"/>
      </rPr>
      <t>Goa</t>
    </r>
  </si>
  <si>
    <r>
      <rPr>
        <sz val="11"/>
        <color rgb="FF0F233D"/>
        <rFont val="Calibri"/>
        <family val="2"/>
        <scheme val="minor"/>
      </rPr>
      <t>Dadra &amp; Nagar Haveli</t>
    </r>
  </si>
  <si>
    <r>
      <rPr>
        <sz val="11"/>
        <color rgb="FF0F233D"/>
        <rFont val="Calibri"/>
        <family val="2"/>
        <scheme val="minor"/>
      </rPr>
      <t>Daman &amp; Diu</t>
    </r>
  </si>
  <si>
    <t xml:space="preserve">  महाराष्ट्र  </t>
  </si>
  <si>
    <r>
      <rPr>
        <sz val="11"/>
        <color rgb="FF0F233D"/>
        <rFont val="Calibri"/>
        <family val="2"/>
        <scheme val="minor"/>
      </rPr>
      <t>Maharashtra</t>
    </r>
  </si>
  <si>
    <t xml:space="preserve">Maharashtra  </t>
  </si>
  <si>
    <r>
      <rPr>
        <sz val="11"/>
        <color rgb="FF0F233D"/>
        <rFont val="Calibri"/>
        <family val="2"/>
        <scheme val="minor"/>
      </rPr>
      <t>Madhya Pradesh</t>
    </r>
  </si>
  <si>
    <t xml:space="preserve">  गुजरात  </t>
  </si>
  <si>
    <r>
      <rPr>
        <sz val="11"/>
        <color rgb="FF0F233D"/>
        <rFont val="Calibri"/>
        <family val="2"/>
        <scheme val="minor"/>
      </rPr>
      <t>Gujarat</t>
    </r>
  </si>
  <si>
    <t xml:space="preserve">Gujarat  </t>
  </si>
  <si>
    <r>
      <rPr>
        <sz val="11"/>
        <color rgb="FF0F233D"/>
        <rFont val="Calibri"/>
        <family val="2"/>
        <scheme val="minor"/>
      </rPr>
      <t>Chhattisgarh</t>
    </r>
  </si>
  <si>
    <r>
      <rPr>
        <b/>
        <sz val="11"/>
        <color rgb="FF0F233D"/>
        <rFont val="Calibri"/>
        <family val="2"/>
        <scheme val="minor"/>
      </rPr>
      <t>Northern</t>
    </r>
    <r>
      <rPr>
        <sz val="11"/>
        <color rgb="FF0F233D"/>
        <rFont val="Calibri"/>
        <family val="2"/>
        <scheme val="minor"/>
      </rPr>
      <t xml:space="preserve"> </t>
    </r>
    <r>
      <rPr>
        <b/>
        <sz val="11"/>
        <color rgb="FF0F233D"/>
        <rFont val="Calibri"/>
        <family val="2"/>
        <scheme val="minor"/>
      </rPr>
      <t>Region</t>
    </r>
  </si>
  <si>
    <t>NORTHERN REGION</t>
  </si>
  <si>
    <r>
      <rPr>
        <sz val="11"/>
        <color rgb="FF0F233D"/>
        <rFont val="Calibri"/>
        <family val="2"/>
        <scheme val="minor"/>
      </rPr>
      <t>Uttarakhand</t>
    </r>
  </si>
  <si>
    <r>
      <rPr>
        <sz val="11"/>
        <color rgb="FF0F233D"/>
        <rFont val="Calibri"/>
        <family val="2"/>
        <scheme val="minor"/>
      </rPr>
      <t>Uttar Pradesh</t>
    </r>
  </si>
  <si>
    <t xml:space="preserve">  राजस्थान  </t>
  </si>
  <si>
    <r>
      <rPr>
        <sz val="11"/>
        <color rgb="FF0F233D"/>
        <rFont val="Calibri"/>
        <family val="2"/>
        <scheme val="minor"/>
      </rPr>
      <t>Rajasthan</t>
    </r>
  </si>
  <si>
    <t xml:space="preserve">Rajasthan  </t>
  </si>
  <si>
    <r>
      <rPr>
        <sz val="11"/>
        <color rgb="FF0F233D"/>
        <rFont val="Calibri"/>
        <family val="2"/>
        <scheme val="minor"/>
      </rPr>
      <t>Punjab</t>
    </r>
  </si>
  <si>
    <t>UT of Jammu &amp; Kashmir Ladakh</t>
  </si>
  <si>
    <t xml:space="preserve"> केंद्र शासित प्रदेश जम्मू और कश्मीर लद्दाख</t>
  </si>
  <si>
    <t xml:space="preserve">  जम्‍मू एवं कश्‍मीर </t>
  </si>
  <si>
    <t xml:space="preserve">Jammu &amp; Kashmir </t>
  </si>
  <si>
    <r>
      <rPr>
        <sz val="11"/>
        <color rgb="FF0F233D"/>
        <rFont val="Calibri"/>
        <family val="2"/>
        <scheme val="minor"/>
      </rPr>
      <t>Himachal Pradesh</t>
    </r>
  </si>
  <si>
    <r>
      <rPr>
        <sz val="11"/>
        <color rgb="FF0F233D"/>
        <rFont val="Calibri"/>
        <family val="2"/>
        <scheme val="minor"/>
      </rPr>
      <t>Haryana</t>
    </r>
  </si>
  <si>
    <t xml:space="preserve">  दिल्ली   </t>
  </si>
  <si>
    <r>
      <rPr>
        <sz val="11"/>
        <color rgb="FF0F233D"/>
        <rFont val="Calibri"/>
        <family val="2"/>
        <scheme val="minor"/>
      </rPr>
      <t>Delhi</t>
    </r>
  </si>
  <si>
    <t xml:space="preserve">Delhi   </t>
  </si>
  <si>
    <r>
      <rPr>
        <sz val="11"/>
        <color rgb="FF0F233D"/>
        <rFont val="Calibri"/>
        <family val="2"/>
        <scheme val="minor"/>
      </rPr>
      <t>Chandigarh</t>
    </r>
  </si>
  <si>
    <t xml:space="preserve">(प्रतिशत)
(%) 
</t>
  </si>
  <si>
    <t xml:space="preserve">एमडब्ल्यू
(MW) 
</t>
  </si>
  <si>
    <t xml:space="preserve">(प्रतिशत)
(%)  
</t>
  </si>
  <si>
    <t xml:space="preserve">(एमयू)
(MU) 
</t>
  </si>
  <si>
    <t>(%) 
(प्रतिशत)</t>
  </si>
  <si>
    <t>(MW) 
एमडब्ल्यू</t>
  </si>
  <si>
    <t>(%)  
(प्रतिशत)</t>
  </si>
  <si>
    <t>(MU) 
(एमयू)</t>
  </si>
  <si>
    <t>Region/State/UT</t>
  </si>
  <si>
    <t xml:space="preserve">पूरी न की गई मांग
Demand not met 
</t>
  </si>
  <si>
    <t xml:space="preserve">उच्‍चतम पूर्ति (मेगावाट)
Peak Met (MW) 
</t>
  </si>
  <si>
    <t xml:space="preserve">उच्‍चतम मांग (मेगावाट)
Peak Demand (MW) 
</t>
  </si>
  <si>
    <t xml:space="preserve">आपूर्त न की गई ऊर्जा (एमयू) 
Energy not supplied  </t>
  </si>
  <si>
    <t xml:space="preserve">आपूर्त की गई ऊर्जा (एमयू)
Energy Supplied (MU) 
</t>
  </si>
  <si>
    <t xml:space="preserve">ऊर्जा की आवश्‍यकता (एमयू)
Energy Requirement  (MU) 
</t>
  </si>
  <si>
    <t>क्षेत्र/राज्‍य/संघ राज्‍य क्षेत्र</t>
  </si>
  <si>
    <t>Demand not met 
पूरी न की गई मांग</t>
  </si>
  <si>
    <t>Peak Met (MW) 
उच्‍चतम पूर्ति (मेगावाट)</t>
  </si>
  <si>
    <t>Peak Demand (MW) 
उच्‍चतम मांग (मेगावाट)</t>
  </si>
  <si>
    <t xml:space="preserve">Energy not supplied  आपूर्त न की गई ऊर्जा (एमयू) </t>
  </si>
  <si>
    <t>Energy Supplied (MU) 
आपूर्त की गई ऊर्जा (एमयू)</t>
  </si>
  <si>
    <t>Energy Requirement  (MU) 
ऊर्जा की आवश्‍यकता (एमयू)</t>
  </si>
  <si>
    <t>Demand no met 
पूरी न की गई मांग</t>
  </si>
  <si>
    <t xml:space="preserve">Energy not supplied  
आपूर्त न की गई ऊर्जा (एमयू) </t>
  </si>
  <si>
    <t>Region/State/U.Ts.</t>
  </si>
  <si>
    <t>वर्ष/Year  2021-2022</t>
  </si>
  <si>
    <t>Year वर्ष 2019-2020</t>
  </si>
  <si>
    <t xml:space="preserve">April अप्रैल 2018- March मार्च 2019  </t>
  </si>
  <si>
    <t>Statement 2.12:  State-wise energy Supply Position</t>
  </si>
  <si>
    <t>DVC: Damodar Valley Corporation RES: Renewable Energy Sources  NLC:Neyveli Lignite Corporation Limited</t>
  </si>
  <si>
    <t>* Total Thermal capacity including of 'Lignite'.         **Unified data of Jammu &amp; Kashmir and Ladakh</t>
  </si>
  <si>
    <r>
      <t xml:space="preserve"> स्रोत :</t>
    </r>
    <r>
      <rPr>
        <b/>
        <i/>
        <sz val="10"/>
        <rFont val="Calibri"/>
        <family val="2"/>
        <scheme val="minor"/>
      </rPr>
      <t xml:space="preserve"> </t>
    </r>
    <r>
      <rPr>
        <i/>
        <sz val="11"/>
        <rFont val="Calibri"/>
        <family val="2"/>
        <scheme val="minor"/>
      </rPr>
      <t xml:space="preserve"> केंद्रीय विद्युत प्राधिकरण</t>
    </r>
  </si>
  <si>
    <r>
      <t xml:space="preserve"> Source </t>
    </r>
    <r>
      <rPr>
        <b/>
        <i/>
        <sz val="10"/>
        <rFont val="Calibri"/>
        <family val="2"/>
        <scheme val="minor"/>
      </rPr>
      <t xml:space="preserve"> : </t>
    </r>
    <r>
      <rPr>
        <i/>
        <sz val="11"/>
        <rFont val="Calibri"/>
        <family val="2"/>
        <scheme val="minor"/>
      </rPr>
      <t>Central Electricity Authority</t>
    </r>
  </si>
  <si>
    <r>
      <t xml:space="preserve">स्रोत :  केंद्रीय विद्युत प्राधिकरण/ Source </t>
    </r>
    <r>
      <rPr>
        <b/>
        <i/>
        <sz val="10"/>
        <rFont val="Calibri"/>
        <family val="2"/>
        <scheme val="minor"/>
      </rPr>
      <t xml:space="preserve"> : </t>
    </r>
    <r>
      <rPr>
        <i/>
        <sz val="11"/>
        <rFont val="Calibri"/>
        <family val="2"/>
        <scheme val="minor"/>
      </rPr>
      <t xml:space="preserve">Central Electricity Authority  </t>
    </r>
  </si>
  <si>
    <t>All INDIA</t>
  </si>
  <si>
    <t>Central sector</t>
  </si>
  <si>
    <t xml:space="preserve"> केंद्रीय क्षेत्र</t>
  </si>
  <si>
    <t>Private sector</t>
  </si>
  <si>
    <t xml:space="preserve"> निजी क्षेत्र</t>
  </si>
  <si>
    <t xml:space="preserve"> लक्षद्वीप</t>
  </si>
  <si>
    <t>Andaman And Nicobar Island</t>
  </si>
  <si>
    <t xml:space="preserve"> अंडमान एवं निकोबार दीप समूह</t>
  </si>
  <si>
    <t xml:space="preserve"> Islands</t>
  </si>
  <si>
    <t xml:space="preserve"> राज्‍य </t>
  </si>
  <si>
    <t xml:space="preserve">VI </t>
  </si>
  <si>
    <t xml:space="preserve"> State </t>
  </si>
  <si>
    <t>केंद्रीय क्षेत्र</t>
  </si>
  <si>
    <t>निजी क्षेत्र</t>
  </si>
  <si>
    <t>त्रिपुरा</t>
  </si>
  <si>
    <t>मणिपुर</t>
  </si>
  <si>
    <t>V</t>
  </si>
  <si>
    <t>सिक्किम</t>
  </si>
  <si>
    <t>D.V.C.</t>
  </si>
  <si>
    <t>डीवीसी</t>
  </si>
  <si>
    <t xml:space="preserve">Bihar </t>
  </si>
  <si>
    <t xml:space="preserve">बिहार </t>
  </si>
  <si>
    <t>IV</t>
  </si>
  <si>
    <t>NLC</t>
  </si>
  <si>
    <t>एनएलसी</t>
  </si>
  <si>
    <t>III</t>
  </si>
  <si>
    <t>दमन एवं दीव</t>
  </si>
  <si>
    <t>दादरा एवं नगर हवेली</t>
  </si>
  <si>
    <t>II</t>
  </si>
  <si>
    <t>उत्‍तराखंड</t>
  </si>
  <si>
    <t>पंजाब</t>
  </si>
  <si>
    <t>Jammu &amp; Kashmir**</t>
  </si>
  <si>
    <t>जम्‍मू एवं कश्‍मीर</t>
  </si>
  <si>
    <t>हिमाचल प्रदेश</t>
  </si>
  <si>
    <t>हरियाणा</t>
  </si>
  <si>
    <t>दिल्ली</t>
  </si>
  <si>
    <t>चंडीगढ़</t>
  </si>
  <si>
    <t>I</t>
  </si>
  <si>
    <t xml:space="preserve">डीजल   
Diesel
</t>
  </si>
  <si>
    <t xml:space="preserve">गैस
Gas
</t>
  </si>
  <si>
    <t xml:space="preserve">कोयला
Coal
</t>
  </si>
  <si>
    <t xml:space="preserve">Diesel
डीजल   </t>
  </si>
  <si>
    <t>Gas
गैस</t>
  </si>
  <si>
    <t>Coal
कोयला</t>
  </si>
  <si>
    <t>State/Union Territory</t>
  </si>
  <si>
    <t xml:space="preserve">कुल योग
Grand Total
</t>
  </si>
  <si>
    <t xml:space="preserve">आरईएस (नवीन एवं नवीकरणीय ऊर्जा मंत्रालय)
RES (MNRE)
</t>
  </si>
  <si>
    <t xml:space="preserve">हाइड्रो नवीकरणीय
Hydro Renewable
</t>
  </si>
  <si>
    <t xml:space="preserve">परमाणु
Nuclear 
</t>
  </si>
  <si>
    <t xml:space="preserve"> कुल थर्मल*
Total Thermal
</t>
  </si>
  <si>
    <t xml:space="preserve">थर्मल
Thermal
</t>
  </si>
  <si>
    <t>राज्य / केंद्र शासित प्रदेश</t>
  </si>
  <si>
    <t>Grand Total
कुल योग</t>
  </si>
  <si>
    <t>RES (MNRE)
आरईएस (नवीन एवं नवीकरणीय ऊर्जा मंत्रालय)</t>
  </si>
  <si>
    <t>Hydro Renewable
हाइड्रो नवीकरणीय</t>
  </si>
  <si>
    <t>Nuclear 
परमाणु</t>
  </si>
  <si>
    <t>Total Thermal
 कुल थर्मल</t>
  </si>
  <si>
    <t>Thermal
थर्मल</t>
  </si>
  <si>
    <t xml:space="preserve">  ( मेगावाट/Mega Watts  )</t>
  </si>
  <si>
    <t>(As on 31st  मार्च/March, 2022)</t>
  </si>
  <si>
    <t xml:space="preserve"> </t>
  </si>
  <si>
    <t xml:space="preserve">  (Mega Watts  / मेगावाट)</t>
  </si>
  <si>
    <t>(As on 31st March, मार्च, 2020)</t>
  </si>
  <si>
    <t xml:space="preserve">  Statement 2.13 :  Installed capacity of power utilities   </t>
  </si>
  <si>
    <t># Renewable Energy Sources (RES) includes Wind, Small Hydro Project, Biomass Gasifier, Biomass Power, Urban &amp; Industrial Waste Power &amp; solar power.</t>
  </si>
  <si>
    <t>* : After accounting for derations/uprations etc. and reconciliation with utilities, the installed capacity figure of 36863 MW would work out to 38990 as on 31.03.2012.</t>
  </si>
  <si>
    <t>#  : RES:- Renewable Energy Sources includes Hydro capacity of 25.00 MW and below as reported by MNRE.</t>
  </si>
  <si>
    <t xml:space="preserve">स्रोत: केंद्रीय विद्युत प्राधिकरण/Source: Central Electricity Authority      </t>
  </si>
  <si>
    <t>30.03.2022</t>
  </si>
  <si>
    <t>30.03.2021</t>
  </si>
  <si>
    <t>30.03.2020</t>
  </si>
  <si>
    <t>31.03.2019</t>
  </si>
  <si>
    <t>31.03.2018</t>
  </si>
  <si>
    <t>31.03.2017</t>
  </si>
  <si>
    <t>31.03.2016</t>
  </si>
  <si>
    <t>31.03.2015</t>
  </si>
  <si>
    <t>31.03.2014</t>
  </si>
  <si>
    <t>31.03.2013</t>
  </si>
  <si>
    <t xml:space="preserve">31.03.2012 </t>
  </si>
  <si>
    <t>31.03.2011</t>
  </si>
  <si>
    <t xml:space="preserve">31.03.2010 </t>
  </si>
  <si>
    <t xml:space="preserve">31.03.2009 </t>
  </si>
  <si>
    <t xml:space="preserve">31.03.2008 </t>
  </si>
  <si>
    <t>31.03.2007</t>
  </si>
  <si>
    <t xml:space="preserve">31.03.2006 </t>
  </si>
  <si>
    <t>31.03.2005</t>
  </si>
  <si>
    <t>31.03.2004</t>
  </si>
  <si>
    <t>31.03.2003</t>
  </si>
  <si>
    <t>31.03.2002</t>
  </si>
  <si>
    <t>31.03.1997</t>
  </si>
  <si>
    <t>31.03.1992</t>
  </si>
  <si>
    <t xml:space="preserve">31.03.1990 </t>
  </si>
  <si>
    <t xml:space="preserve">31.03.1985 </t>
  </si>
  <si>
    <t xml:space="preserve">31.03.1980 </t>
  </si>
  <si>
    <t>31.03.1979</t>
  </si>
  <si>
    <t>31.03.1974</t>
  </si>
  <si>
    <t xml:space="preserve">31.03.1969 </t>
  </si>
  <si>
    <t xml:space="preserve">31.03.1966 </t>
  </si>
  <si>
    <t xml:space="preserve">31.03.1961 </t>
  </si>
  <si>
    <t xml:space="preserve">31.03.1956 </t>
  </si>
  <si>
    <t>31.12.1950</t>
  </si>
  <si>
    <t>31.12.1947</t>
  </si>
  <si>
    <t xml:space="preserve">कुल 
Total
</t>
  </si>
  <si>
    <t xml:space="preserve">डीजल
Diesel
</t>
  </si>
  <si>
    <t xml:space="preserve">कोयला 
Coal 
</t>
  </si>
  <si>
    <t>As on</t>
  </si>
  <si>
    <t xml:space="preserve">अक्षय ऊर्जा स्रोत
RES#  
</t>
  </si>
  <si>
    <t xml:space="preserve">परमाणु
Nuclear
</t>
  </si>
  <si>
    <t xml:space="preserve">हाइड्रो
Hydro 
</t>
  </si>
  <si>
    <t xml:space="preserve">को
As on
</t>
  </si>
  <si>
    <t>(मेगावाट/Mega Watts)</t>
  </si>
  <si>
    <t>3. RES Generation during 2014-2015 onwards are as per actual generation received from utilities.</t>
  </si>
  <si>
    <t>2. RES Generation upto 2013-2014 as per normative generation.</t>
  </si>
  <si>
    <t>1. BBMB generation has been considered in State Sector.</t>
  </si>
  <si>
    <t>(P) : Provisional             RES : Renewable Energy Sources                          GWh : Gigawatt hours</t>
  </si>
  <si>
    <t>स्रोत :  केंद्रीय विद्युत प्राधिकरण /Source:  Central Electricity Authority                                                    -: Nil</t>
  </si>
  <si>
    <t xml:space="preserve">2020-21 </t>
  </si>
  <si>
    <t>1996-97</t>
  </si>
  <si>
    <t>1991-92</t>
  </si>
  <si>
    <t>1989-90</t>
  </si>
  <si>
    <t>1984-85</t>
  </si>
  <si>
    <t>1979-80</t>
  </si>
  <si>
    <t>1978-79</t>
  </si>
  <si>
    <t>1973-74</t>
  </si>
  <si>
    <t>1968-69</t>
  </si>
  <si>
    <t>1965-66</t>
  </si>
  <si>
    <t>1955-56</t>
  </si>
  <si>
    <t xml:space="preserve">डीजल
Diesel  
</t>
  </si>
  <si>
    <t xml:space="preserve">गैस
 Gas    
</t>
  </si>
  <si>
    <t xml:space="preserve"> कोयला / लिग्नाइट
Coal / Lignite 
</t>
  </si>
  <si>
    <t xml:space="preserve">कुल 
 Total  
</t>
  </si>
  <si>
    <t xml:space="preserve">अक्षय ऊर्जा स्रोत
RES
</t>
  </si>
  <si>
    <t>Thermal 
थर्मल</t>
  </si>
  <si>
    <t xml:space="preserve">हाइड्रो
Hydro
</t>
  </si>
  <si>
    <t xml:space="preserve">वर्ष 
Year
</t>
  </si>
  <si>
    <t>(गीगावाट घंटे/in GWh  )</t>
  </si>
  <si>
    <t>MTO : Mineral Turpentine Oil     SBPS : Special Boiling Point Spirit  LABFS : Linear Alkyl Benzene feedstock</t>
  </si>
  <si>
    <t>(P) -अंनतिम/ Provisional</t>
  </si>
  <si>
    <t>4.  Others include waxes, Sulphur, MTO, SBPS, Benzene, LABFS etc.</t>
  </si>
  <si>
    <t>3.  Heavy Ends includes Fuel Oil, Lubricant, Petroleum Coke and Bitumen</t>
  </si>
  <si>
    <t xml:space="preserve">2.  Middle Distillates includes Kerosene, Aviation Turbine, High Speed Diesel Oil and Light Diesel Oil       </t>
  </si>
  <si>
    <t>1.  Light Distillates includes Liquified Petroleum Gas , Petrol and Naphtha.</t>
  </si>
  <si>
    <t>Note:</t>
  </si>
  <si>
    <t xml:space="preserve">स्रोत :  पेट्रोलियम एवं प्राकृतिक गैस मंत्रालय     Source :  Ministry of Petroleum and Natural Gas.     </t>
  </si>
  <si>
    <t>2021-22(P)</t>
  </si>
  <si>
    <t xml:space="preserve">2015-16 </t>
  </si>
  <si>
    <t>1995-96</t>
  </si>
  <si>
    <t>1994-95</t>
  </si>
  <si>
    <t>1993-94</t>
  </si>
  <si>
    <t>1992-93</t>
  </si>
  <si>
    <t>1988-89</t>
  </si>
  <si>
    <t>1987-88</t>
  </si>
  <si>
    <t>1986-87</t>
  </si>
  <si>
    <t>1985-86</t>
  </si>
  <si>
    <t>1983-84</t>
  </si>
  <si>
    <t>1982-83</t>
  </si>
  <si>
    <t>1981-82</t>
  </si>
  <si>
    <t>1977-78</t>
  </si>
  <si>
    <t>1976-77</t>
  </si>
  <si>
    <t>1975-76</t>
  </si>
  <si>
    <t>1974-75</t>
  </si>
  <si>
    <t>1972-73</t>
  </si>
  <si>
    <t>1971-72</t>
  </si>
  <si>
    <t xml:space="preserve">अन्‍य
 Others
 </t>
  </si>
  <si>
    <t xml:space="preserve">भारी अंत्य
Heavy Ends
</t>
  </si>
  <si>
    <t>Bitumen</t>
  </si>
  <si>
    <t>Petroleum Coke</t>
  </si>
  <si>
    <t>Lubricants</t>
  </si>
  <si>
    <t>Fuel Oil</t>
  </si>
  <si>
    <t xml:space="preserve">मध्‍यम आसव
Middle Distillates 
</t>
  </si>
  <si>
    <t>Light Diesel Oil</t>
  </si>
  <si>
    <t>High Speed Diesel oil</t>
  </si>
  <si>
    <t>Aviation Turbine Fuel</t>
  </si>
  <si>
    <t>Kerosene</t>
  </si>
  <si>
    <t xml:space="preserve">हल्‍के आसव
Light Distillates 
</t>
  </si>
  <si>
    <t>Naphtha</t>
  </si>
  <si>
    <t>Motor Gasoline (Petrol)</t>
  </si>
  <si>
    <t>Liquified Petroleum Gas @</t>
  </si>
  <si>
    <t xml:space="preserve"> वर्ष
Year 
</t>
  </si>
  <si>
    <t>Heavy Ends</t>
  </si>
  <si>
    <t>Middle Distillates</t>
  </si>
  <si>
    <t>Light Distillates</t>
  </si>
  <si>
    <t>(000'  टन/Tonne)</t>
  </si>
  <si>
    <t>Note: Sectors where natural  gas is being used as feedstock are classified as consumption of gas under non energy purpose whereas those sectors where natural gas is used as fuel are classified as consumption of gas under energy purpose.</t>
  </si>
  <si>
    <t xml:space="preserve">$ : Miscellaneous Sector =Manufacture + Internal consumption for pipeline system </t>
  </si>
  <si>
    <t>(P) - अंनतिम/Provisional</t>
  </si>
  <si>
    <t>*:Includes Road Transport Sectors &amp;  City Gas Distribution (CGD ) Sector</t>
  </si>
  <si>
    <t xml:space="preserve">स्रोत :  पेट्रोलियम एवं प्राकृतिक गैस मंत्रालय      Source :  Ministry of Petroleum and Natural Gas.     </t>
  </si>
  <si>
    <t xml:space="preserve">2017-18 </t>
  </si>
  <si>
    <t xml:space="preserve">पेट्रोरसायन
Petrochemical
</t>
  </si>
  <si>
    <t xml:space="preserve">स्‍पंज आयरन
Sponge Iron
</t>
  </si>
  <si>
    <t xml:space="preserve">उर्वरक 
Fertilizer
   </t>
  </si>
  <si>
    <t xml:space="preserve">विविध क्षेत्र $
Miscellaneous Sector $
</t>
  </si>
  <si>
    <t xml:space="preserve">स्वोपयोगी प्रयोग / एलपीजी संकुचन
Captive Use/LPG Shrinkage
</t>
  </si>
  <si>
    <t xml:space="preserve">रिफाइनरी
Refinery
</t>
  </si>
  <si>
    <t xml:space="preserve">घरेलू ईंधन / परिवहन*
Domestic fuel / Transport* 
</t>
  </si>
  <si>
    <t xml:space="preserve"> चाय बागान
Tea Plantation
</t>
  </si>
  <si>
    <t xml:space="preserve">औद्योगिक 
Industrial
</t>
  </si>
  <si>
    <t xml:space="preserve">विद्युत उत्‍पादन
Power Generation
</t>
  </si>
  <si>
    <t xml:space="preserve"> कुल योग
Grand Total  
</t>
  </si>
  <si>
    <t>Non-Energy Purposes
ऊर्जा से भिन्‍न प्रयोजनों के लिए</t>
  </si>
  <si>
    <t>Energy Purposes
ऊर्जा के प्रयोजनार्थ</t>
  </si>
  <si>
    <t xml:space="preserve">वर्ष
 Year 
</t>
  </si>
  <si>
    <t xml:space="preserve">( मिलियन घनमीटर/Million Cubic Meters )       </t>
  </si>
  <si>
    <t>https://mnre.gov.in/the-ministry/physical-progress</t>
  </si>
  <si>
    <t xml:space="preserve">*Unified data of Jammu &amp; Kashmir and Ladakh            -: Nil                   ** Others includes installations through NGOs/IREDA in different states. </t>
  </si>
  <si>
    <t xml:space="preserve">स्रोत:  नवीन एवं नवीकरणीय ऊर्जा मंत्रालय/Source: Ministry of New and Renewable Energy. </t>
  </si>
  <si>
    <t xml:space="preserve">  अन्‍य**</t>
  </si>
  <si>
    <t xml:space="preserve">  दमन एवं दीव </t>
  </si>
  <si>
    <t>Dadar &amp; Nagar Haveli</t>
  </si>
  <si>
    <t xml:space="preserve">  अंडमान एवं निकोबार दीप समूह</t>
  </si>
  <si>
    <t xml:space="preserve">  जम्‍मू एवं कश्‍मीर*</t>
  </si>
  <si>
    <t xml:space="preserve">अकेले चल सकने योग्‍य विद्युत संयंत्र
Stands alone  power plant
</t>
  </si>
  <si>
    <t xml:space="preserve"> पंप
Pumps
</t>
  </si>
  <si>
    <t xml:space="preserve">स्‍ट्रीट लाइट
Street lights 
</t>
  </si>
  <si>
    <t xml:space="preserve">गृह लाइट
Home lights 
</t>
  </si>
  <si>
    <t xml:space="preserve">लालटेन और लैंप
Lanterns &amp; Lamps  
</t>
  </si>
  <si>
    <t>State/UT</t>
  </si>
  <si>
    <t xml:space="preserve"> सोलर फोटोवॉल्टिक प्रणालियां (संख्‍या)/ Solar photovoltaic systems (numbers)
</t>
  </si>
  <si>
    <t>राज्‍य/संघ राज्‍य क्षेत्र</t>
  </si>
  <si>
    <t>( 31 जनवरी तक/ upto 31 January )</t>
  </si>
  <si>
    <t xml:space="preserve">Andhra Pradesh </t>
  </si>
  <si>
    <t xml:space="preserve">*unified data of Jammu &amp; Kashmir and Ladakh                           ** Others includes installations through NGOs/IREDA in different states. </t>
  </si>
  <si>
    <t>Note: The potential of Solar Power (1,00,000MW) is estimated at 30-50 MW/Sq.Cm. of open, shadow free area.</t>
  </si>
  <si>
    <t>स्रोत: नवीन एवं नवीकरणीय ऊर्जा मंत्रालय/ Source: Ministry of New and Renewable Energy.</t>
  </si>
  <si>
    <t>Source: Ministry of New and Renewable Energy. / स्रोत: नवीन एवं नवीकरणीय ऊर्जा मंत्रालय</t>
  </si>
  <si>
    <t>Distribution (% )</t>
  </si>
  <si>
    <t xml:space="preserve">  वितरण (प्रतिशत)</t>
  </si>
  <si>
    <t xml:space="preserve">All India Total </t>
  </si>
  <si>
    <t xml:space="preserve">  अखिल भारतीय कुल </t>
  </si>
  <si>
    <t xml:space="preserve">  अन्‍य</t>
  </si>
  <si>
    <t xml:space="preserve">Puducherry </t>
  </si>
  <si>
    <t xml:space="preserve">Lakshadweep </t>
  </si>
  <si>
    <t xml:space="preserve">Daman &amp; Diu </t>
  </si>
  <si>
    <t xml:space="preserve">West Bengal </t>
  </si>
  <si>
    <t xml:space="preserve">Tripura </t>
  </si>
  <si>
    <t xml:space="preserve">Tamil Nadu </t>
  </si>
  <si>
    <t xml:space="preserve">Rajasthan </t>
  </si>
  <si>
    <t xml:space="preserve">Odisha </t>
  </si>
  <si>
    <t xml:space="preserve">Mizoram </t>
  </si>
  <si>
    <t xml:space="preserve">Manipur </t>
  </si>
  <si>
    <t xml:space="preserve">Maharashtra </t>
  </si>
  <si>
    <t xml:space="preserve">Kerala </t>
  </si>
  <si>
    <t xml:space="preserve">Karnataka </t>
  </si>
  <si>
    <t xml:space="preserve">Haryana </t>
  </si>
  <si>
    <t xml:space="preserve">Assam </t>
  </si>
  <si>
    <t xml:space="preserve">States/ UTs </t>
  </si>
  <si>
    <t>Distribution (%)
वितरण (प्रतिशत)</t>
  </si>
  <si>
    <t>Estimated Potential</t>
  </si>
  <si>
    <t xml:space="preserve">कुल
Total   
</t>
  </si>
  <si>
    <t xml:space="preserve">सोलर
Solar 
</t>
  </si>
  <si>
    <t xml:space="preserve">अपशिष्‍ट से ऊर्जा
Waste to Energy
</t>
  </si>
  <si>
    <t xml:space="preserve">बायोमास विद्युत
Biomass Power 
</t>
  </si>
  <si>
    <t xml:space="preserve">लघु जल विद्युत
Small Hydro Power 
  </t>
  </si>
  <si>
    <t xml:space="preserve">पवन विद्युत
Wind Power
</t>
  </si>
  <si>
    <t xml:space="preserve">राज्‍य / संघ राज्‍य क्षेत्र </t>
  </si>
  <si>
    <t>Total   
कुल</t>
  </si>
  <si>
    <t>Solar 
सोलर</t>
  </si>
  <si>
    <t>Waste to Energy
अपशिष्‍ट से ऊर्जा</t>
  </si>
  <si>
    <t>Cogeneration bagasse
सहउत्‍पादन खोई</t>
  </si>
  <si>
    <t>Biomass Power 
बायोमास विद्युत</t>
  </si>
  <si>
    <t xml:space="preserve">Small Hydro Power 
लघु जल विद्युत  </t>
  </si>
  <si>
    <t>Wind Power
पवन विद्युत</t>
  </si>
  <si>
    <t>(मेगावाट/Mega Watts )</t>
  </si>
  <si>
    <t>(Mega Watts मेगावाट)</t>
  </si>
  <si>
    <t>(as on 31.01.2021 / 31.01.2021 तक)</t>
  </si>
  <si>
    <t xml:space="preserve">Statement 2.22:  Source-wise and State-wise estimated potential of Renewable Power in India           </t>
  </si>
  <si>
    <t xml:space="preserve"> विवरण 2.22 :  भारत में नवीकरणीय विद्युत का स्रोतवार एवं राज्‍यवार अनुमानित विभव</t>
  </si>
  <si>
    <t>Andaman &amp; Nicobar</t>
  </si>
  <si>
    <t>Orissa</t>
  </si>
  <si>
    <t>* Others include other natural gas, kerosene, coke / coal, gobar gas, other biogas, charcoal, electricity (incl. generated by solar or wind power generators), solar cooker and others.</t>
  </si>
  <si>
    <t xml:space="preserve">  समस्त भारत</t>
  </si>
  <si>
    <t xml:space="preserve">अन्य
Others*
</t>
  </si>
  <si>
    <t xml:space="preserve">उपला
dung
cake
</t>
  </si>
  <si>
    <t xml:space="preserve">एलपीजी गैस
LPG
</t>
  </si>
  <si>
    <t xml:space="preserve">जलावन, चिप्पड़ और फसल के अवशेष
Firewood, chips &amp; crop
residue
</t>
  </si>
  <si>
    <t xml:space="preserve">सभी
All
</t>
  </si>
  <si>
    <t xml:space="preserve">खाना पकाने की कोई व्यवस्था नहीं"
No cooking
arrangement
</t>
  </si>
  <si>
    <t xml:space="preserve">खाना पकाने के लिए प्रयुक्त ईंधन का प्रकार
Type of fuel used for cooking 
</t>
  </si>
  <si>
    <t xml:space="preserve">( ग्रामीण/Rural)    </t>
  </si>
  <si>
    <t>* Others also includes other natural gas, kerosene, coke / coal, gobar gas, other biogas, charcoal, electricity (incl. generated by solar or wind power generators), solar cooker and others.</t>
  </si>
  <si>
    <t>समस्त भारत</t>
  </si>
  <si>
    <t xml:space="preserve">जलावन, चिप्पड़ और फसल के अवशेष
Firewood,
chips &amp; crop
residue
</t>
  </si>
  <si>
    <t xml:space="preserve">(शहरी/Urban )    </t>
  </si>
  <si>
    <t xml:space="preserve">( शहरी + ग्रामीण/Rural+Urban)    </t>
  </si>
  <si>
    <t>*: The figures related to area under forest are taken from latest “State of Forest Report,” of the Forest Survey of India, Dehradun. The other categories of land use, net irrigated area, gross irrigated area, net area sown and area under crops as the case may be, are taken from latest Agriculture Census or are estimated based on latest available year data received from the States/Uts respectively.</t>
  </si>
  <si>
    <t>0' means area is less than 500 hectares</t>
  </si>
  <si>
    <t>Unified data of Jammu &amp; Kashmir and Ladakh</t>
  </si>
  <si>
    <t>Source:  Directorate of Economics &amp; Statistics, Ministry of Agriculture and Farmers' Welfare</t>
  </si>
  <si>
    <t xml:space="preserve">:  विविध वृक्ष फसलों एवं उपवनों के अधीन भूमि जो निवल बुआई क्षेत्रफल में शामिल नहीं है </t>
  </si>
  <si>
    <t>+</t>
  </si>
  <si>
    <t>स्रोत:  आर्थिक एवं सांख्यिकी निदेशालय, कृषि एंव किसान कल्याण मंत्रालय</t>
  </si>
  <si>
    <t xml:space="preserve">स्रोत:  आर्थिक एवं सांख्यिकी निदेशालय, कृषि एंव किसान कल्याण मंत्रालय </t>
  </si>
  <si>
    <t>o' means area is less than 500 hectares</t>
  </si>
  <si>
    <t>a</t>
  </si>
  <si>
    <t>Dadra and Nagar Haveli</t>
  </si>
  <si>
    <t xml:space="preserve">  अंडमान एवं निकोबार  
  द्वीप समूह</t>
  </si>
  <si>
    <t xml:space="preserve">  अंडमान एवं निकोबार
  द्वीप समूह</t>
  </si>
  <si>
    <t>11210*</t>
  </si>
  <si>
    <t>5814*</t>
  </si>
  <si>
    <t>2299*</t>
  </si>
  <si>
    <t>4058*</t>
  </si>
  <si>
    <t>2361*</t>
  </si>
  <si>
    <t>6669*</t>
  </si>
  <si>
    <t>6725*</t>
  </si>
  <si>
    <t>16,297*</t>
  </si>
  <si>
    <t xml:space="preserve">मौजूदा परती भूमि
Current Fallows </t>
  </si>
  <si>
    <t xml:space="preserve">मौजूदा परती भूमियों से भिन्‍न परती भूमि
Fallow Lands other than Current Fallows </t>
  </si>
  <si>
    <t xml:space="preserve">परिशोध्‍य बंजर भूमि
 Culturable Waste Land </t>
  </si>
  <si>
    <t xml:space="preserve"> Land under Miscellaneous Tree Crops &amp; Groves not included in Net Area Sown+</t>
  </si>
  <si>
    <t xml:space="preserve"> स्‍थाई चरागाह एवं अन्‍य चराई भूमि 
Permanent pastures &amp; other grazing lands </t>
  </si>
  <si>
    <t xml:space="preserve">बंजर एवं अपरिशोध्‍य भूमि
Barren and uncultivable land </t>
  </si>
  <si>
    <t xml:space="preserve">क्षेत्रफल जो कृषि से भिन्‍न प्रयोगों के लिए रखा गया है
Area put to non agricultural uses </t>
  </si>
  <si>
    <t>Total
 (col. 13+ 14) कुल 
(कॉलम 13+14)</t>
  </si>
  <si>
    <t>Current Fallows मौजूदा परती भूमि</t>
  </si>
  <si>
    <t>Fallow Lands other than Current Fallows मौजूदा परती भूमियों से भिन्‍न परती भूमि</t>
  </si>
  <si>
    <t>Total (col. 9+10+11) कुल (कॉलम 9+10+11)</t>
  </si>
  <si>
    <t xml:space="preserve"> Culturable Waste Land परिशोध्‍य बंजर भूमि</t>
  </si>
  <si>
    <t xml:space="preserve"> Land under Miscellaneous Tree Crops &amp; Groves not included in Net Area Sown+ </t>
  </si>
  <si>
    <t xml:space="preserve">Permanent pastures &amp; other grazing lands  स्‍थाई चरागाह एवं अन्‍य चराई भूमि </t>
  </si>
  <si>
    <t>Total (col. 6+ col. 7) कुल (कॉलम 6 + कॉलम 7)</t>
  </si>
  <si>
    <t>Barren and uncultivable land बंजर एवं अपरिशोध्‍य भूमि</t>
  </si>
  <si>
    <t>Area put to non agricultural uses क्षेत्रफल जो कृषि से भिन्‍न प्रयोगों के लिए रखा गया है</t>
  </si>
  <si>
    <t>State/Uts</t>
  </si>
  <si>
    <t xml:space="preserve">क्र. सं.
 Sl. No. 
</t>
  </si>
  <si>
    <t xml:space="preserve">कुल शस्य क्षेत्रफल (सकल शस्य क्षेत्रफल)
Total Cropped Area (Gross Cropped Area) </t>
  </si>
  <si>
    <t xml:space="preserve">निवल बुआई क्षेत्रफल
Net Area Sown </t>
  </si>
  <si>
    <t xml:space="preserve">परती भूमि
Fallow Lands
</t>
  </si>
  <si>
    <t xml:space="preserve">परती भूमि को छोड़कर अन्‍य अकृषित भूमिOther uncultivated land excluding Fallow Land 
</t>
  </si>
  <si>
    <t xml:space="preserve">भूमि जो कृषि के लिए उपलब्‍ध नहीं है
Land not available for cultivation    </t>
  </si>
  <si>
    <t xml:space="preserve">वन
Forest 
</t>
  </si>
  <si>
    <t>Uncultivated Land (Col.4-21) अकृष्‍ट भूमि (कॉलम 4-21)</t>
  </si>
  <si>
    <t>Uncultivable/Unculturable Land (Col.4-20) अकृष्‍य भूमि/अपरिशोध्‍य भूमि (कॉलम 4-20)</t>
  </si>
  <si>
    <t>Cultivated Land(Col.13+15) कृष्‍ट भूमि (कॉलम 14+16)</t>
  </si>
  <si>
    <t>Agri.Land/Cultivable Land/Culturable Land (Col.10+11+15+16) 
कृषि भूमि/कृष्‍य भूमि/परिशोध्‍य भूमि
 (कॉलम 10+11+15+16)</t>
  </si>
  <si>
    <t>Cropping Intensity (Col.17/Col.16*100) शस्य घनत्व (कॉलम 17/कॉलम 16*100)</t>
  </si>
  <si>
    <t>Area Sown more than once (Col. 17-16) क्षेत्रफल जिसमें एक से अधिक बार बुआई होती है (कॉलम 17-16)</t>
  </si>
  <si>
    <t>Total Cropped Area (Gross Cropped Area) कुल शस्य क्षेत्रफल (सकल शस्य क्षेत्रफल)</t>
  </si>
  <si>
    <t>Net Area Sown निवल बुआई क्षेत्रफल</t>
  </si>
  <si>
    <t xml:space="preserve">  Sl. No. 
क्र. सं.</t>
  </si>
  <si>
    <t>Fallow Lands
परती भूमि</t>
  </si>
  <si>
    <t>Other uncultivated land excluding Fallow Land 
परती भूमि को छोड़कर अन्‍य अकृषित भूमि</t>
  </si>
  <si>
    <t>Land not available for cultivation    भूमि जो कृषि के लिए उपलब्‍ध नहीं है</t>
  </si>
  <si>
    <t>Forest 
वन</t>
  </si>
  <si>
    <t>Reporting area for land utilisation statistics  (col. 5+8+12+15+16) भूमि प्रयोग सांख्यिकी के लिए रिपोर्टिंग क्षेत्र (कॉलम 5+8+12+15+16)</t>
  </si>
  <si>
    <t>Geographical  Area 
भौगोलिक क्षेत्र</t>
  </si>
  <si>
    <t>Year वर्ष 2018-19</t>
  </si>
  <si>
    <t>( हज़ार हेक्टेयर/Thousand Hectares)</t>
  </si>
  <si>
    <t>(Thousand Hectares/ हज़ार हेक्टेयर)</t>
  </si>
  <si>
    <t>Year वर्ष 2016-17</t>
  </si>
  <si>
    <t>(Thousand Hectares)</t>
  </si>
  <si>
    <t xml:space="preserve">विवरण 2.30 : राज्‍यवार भूमि प्रयोग वर्गीकरण </t>
  </si>
  <si>
    <t>विवरण 2.30 : राज्‍यवार भूमि प्रयोग वर्गीकरण</t>
  </si>
  <si>
    <t>विवरण 2.30 : राज्‍यवार भूमि प्रयोग वर्गीकरण - 2015-16</t>
  </si>
  <si>
    <t>Statement 2.30: State-wise Land Use Classification</t>
  </si>
  <si>
    <t>Statement 2.30: State-wise Land Use Classification- 2015-16</t>
  </si>
  <si>
    <t>Gross Irrigated Area</t>
  </si>
  <si>
    <t>2018-19(P)</t>
  </si>
  <si>
    <t>2016-17(P)</t>
  </si>
  <si>
    <t>2002-03#</t>
  </si>
  <si>
    <t>(मिलियन हेक्टेयर में/ Million Hectares)</t>
  </si>
  <si>
    <t>@  : In 2009-10 there is significant decline in Total Cropped Area and Net Area Sown  due to decline in net area sown in the States of Andhra Pradesh, Bihar, Jharkhand, Rajasthan, Tamil Nadu, Uttar Pradesh and West Bengal.  This was mainly due to deficient rainfall.</t>
  </si>
  <si>
    <t xml:space="preserve"># :  In 2002-03 there is significant decline in Total Cropped Area and Net Area Sown  due to decline in net area sown in the States of Andhra Pradesh, Karnataka, Kerala, Madhya Pradesh Maharashtra, Orissa, Rajasthan, Tamil Nadu, West Bengal and Haryana.  This was mainly due to deficient rainfall. </t>
  </si>
  <si>
    <t>Source: Land Use Statistics , Directorate of Economics &amp; Statistics, Department of Agriculture Cooperation &amp; Farmers Welfare.</t>
  </si>
  <si>
    <t>स्रोत: भूमि प्रयोग सांख्यिकी, आर्थिक एवं सांख्यिकी निदेशालय, कृषि सहयोग और किसान कल्याण विभाग</t>
  </si>
  <si>
    <t>2017-18(P)</t>
  </si>
  <si>
    <t>2015-16(P)</t>
  </si>
  <si>
    <t>2014-15(P)</t>
  </si>
  <si>
    <t>2013-14(P)</t>
  </si>
  <si>
    <t>2012-13(P)</t>
  </si>
  <si>
    <t>2011-12(P)</t>
  </si>
  <si>
    <t>2010-11(P)</t>
  </si>
  <si>
    <t>2009-10(P)@</t>
  </si>
  <si>
    <t>2008-09(P)</t>
  </si>
  <si>
    <t>क्षेत्रफल जिसमें एक से अधिक बार सिंचाई होती है
Area Irrigated more than once</t>
  </si>
  <si>
    <t>सकल सिंचित क्षेत्र
Gross Irrigated Area</t>
  </si>
  <si>
    <t xml:space="preserve"> निवल सिंचित क्षेत्र
Net Irrigated Area</t>
  </si>
  <si>
    <t>क्षेत्रफल जिसमें एक से अधिक बार बुआई होती है 
Area sown more than once</t>
  </si>
  <si>
    <t xml:space="preserve">शस्य भूमि का कुल क्षेत्रफल
Total cropped area </t>
  </si>
  <si>
    <t>निवल बुआई क्षेत्रफल
Net area sown</t>
  </si>
  <si>
    <t>वर्ष
 Year</t>
  </si>
  <si>
    <t>p: Provisional</t>
  </si>
  <si>
    <t>Source: Directorate of Economics &amp; Statistics, Department of Agriculture, Cooperation  and Farmers' Welfare, M/o  Agriculture and Farmers Welfare</t>
  </si>
  <si>
    <t>स्रोत: आर्थिक एवं सांख्यिकी निदेशालय, कृषि, सहकारिता और किसान कल्याण विभाग, कृषि और किसान कल्याण मंत्रालय</t>
  </si>
  <si>
    <t>2018-19(p)</t>
  </si>
  <si>
    <t>2017-18(p)</t>
  </si>
  <si>
    <t>2016-17(p)</t>
  </si>
  <si>
    <t>2015-16(p)</t>
  </si>
  <si>
    <t>2014-15(p)</t>
  </si>
  <si>
    <t>2013-14(p)</t>
  </si>
  <si>
    <t>2012-13(p)</t>
  </si>
  <si>
    <t>2011-12(p)</t>
  </si>
  <si>
    <t>2010-11(p)</t>
  </si>
  <si>
    <t>2009-10(p)</t>
  </si>
  <si>
    <t>2008-09(p)</t>
  </si>
  <si>
    <t>Private
 निजी</t>
  </si>
  <si>
    <t>Govt. 
सरकारी</t>
  </si>
  <si>
    <t xml:space="preserve">अन्‍य स्रोत
Other source
</t>
  </si>
  <si>
    <t xml:space="preserve"> अन्य कूप
Other Wells</t>
  </si>
  <si>
    <t xml:space="preserve">ट्यूबवेल
Tube-Wells </t>
  </si>
  <si>
    <t xml:space="preserve">टैंक
Tanks 
</t>
  </si>
  <si>
    <t xml:space="preserve">नहर
Canals 
</t>
  </si>
  <si>
    <t xml:space="preserve"> क्षेत्रफल जिसमें एक से अधिक बार सिंचाई होती है
Area Irrigated More than once
 </t>
  </si>
  <si>
    <t xml:space="preserve">सकल सिंचित क्षेत्र
Gross Irrigated Area 
</t>
  </si>
  <si>
    <t xml:space="preserve">निवल सिंचित क्षेत्र     
Net Irrigated Area
</t>
  </si>
  <si>
    <t xml:space="preserve">सिंचाई के स्रोत
Source of Irrigation
</t>
  </si>
  <si>
    <t xml:space="preserve">वर्ष
Year      </t>
  </si>
  <si>
    <t xml:space="preserve">(हज़ार हेक्टेयर/Thousand Hectares)   </t>
  </si>
  <si>
    <t>Cont..</t>
  </si>
  <si>
    <t xml:space="preserve">1995-96 </t>
  </si>
  <si>
    <t xml:space="preserve">1993-94 </t>
  </si>
  <si>
    <t xml:space="preserve">1992-93 </t>
  </si>
  <si>
    <t xml:space="preserve">1991-92 </t>
  </si>
  <si>
    <t xml:space="preserve">1990-91 </t>
  </si>
  <si>
    <t xml:space="preserve">1989-90 </t>
  </si>
  <si>
    <t xml:space="preserve">1988-89 </t>
  </si>
  <si>
    <t xml:space="preserve">1987-88 </t>
  </si>
  <si>
    <t xml:space="preserve">1986-87 </t>
  </si>
  <si>
    <t xml:space="preserve">1985-86 </t>
  </si>
  <si>
    <t xml:space="preserve">1981-82 </t>
  </si>
  <si>
    <t xml:space="preserve">1980-81 </t>
  </si>
  <si>
    <t xml:space="preserve">1978-79 </t>
  </si>
  <si>
    <t xml:space="preserve">1973-74 </t>
  </si>
  <si>
    <t xml:space="preserve">1970-71 </t>
  </si>
  <si>
    <t xml:space="preserve">1969-70 </t>
  </si>
  <si>
    <t xml:space="preserve">1968-69 </t>
  </si>
  <si>
    <t xml:space="preserve">1967-68 </t>
  </si>
  <si>
    <t>1966-67</t>
  </si>
  <si>
    <t xml:space="preserve">1965-66 </t>
  </si>
  <si>
    <t>1964-65</t>
  </si>
  <si>
    <t xml:space="preserve">1963-64 </t>
  </si>
  <si>
    <t xml:space="preserve">1962-63 </t>
  </si>
  <si>
    <t xml:space="preserve">1961-62 </t>
  </si>
  <si>
    <t>*</t>
  </si>
  <si>
    <t xml:space="preserve">1959-60 </t>
  </si>
  <si>
    <t xml:space="preserve">1958-59 </t>
  </si>
  <si>
    <t xml:space="preserve">1957-58 </t>
  </si>
  <si>
    <t xml:space="preserve">1956-57 </t>
  </si>
  <si>
    <t xml:space="preserve">1955-56 </t>
  </si>
  <si>
    <t xml:space="preserve">1954-55 </t>
  </si>
  <si>
    <t xml:space="preserve">1953-54 </t>
  </si>
  <si>
    <t>1952-53</t>
  </si>
  <si>
    <t xml:space="preserve">1951-52 </t>
  </si>
  <si>
    <t xml:space="preserve">1950-51 </t>
  </si>
  <si>
    <t>Private</t>
  </si>
  <si>
    <t>Govt.</t>
  </si>
  <si>
    <t>Other source</t>
  </si>
  <si>
    <t>Other Wells</t>
  </si>
  <si>
    <t>Tube-Wells</t>
  </si>
  <si>
    <t>Tanks</t>
  </si>
  <si>
    <t>Canals</t>
  </si>
  <si>
    <t>Area Irrigated More than once (col. 10-9)</t>
  </si>
  <si>
    <t>Net Irrigated Area (Col.4 to 8)</t>
  </si>
  <si>
    <t>Source of Irrigation</t>
  </si>
  <si>
    <t>Year</t>
  </si>
  <si>
    <t xml:space="preserve">Source: Agriculture &amp; Processed Food Products Export Development Authority,  Ministry of Commerce &amp; Industry, Government of India ;  http://apeda.gov.in </t>
  </si>
  <si>
    <t>स्रोत : कृषि और प्रसंस्कृत खाद्य उत्पाद निर्यात विकास प्राधिकरण, वाणिज्य एंव उद्योग मंत्रालय, भारत सरकार</t>
  </si>
  <si>
    <t>स्रोत : कृषि और प्रसंस्कृत खाद्य उत्पाद निर्यात विकास प्राधिकरण, वाणिज्य एंव उद्योग मंत्रालय भारत सरकार</t>
  </si>
  <si>
    <t xml:space="preserve">source Agriculture &amp; Processed Food Proudcts Export Development Authority,  Ministry of Commerce &amp; Industry, Govrement of India ;  http://apeda.gov.in </t>
  </si>
  <si>
    <t>Pudducherry</t>
  </si>
  <si>
    <t>Pondicherry</t>
  </si>
  <si>
    <t>New Delhi</t>
  </si>
  <si>
    <t>State Name</t>
  </si>
  <si>
    <t xml:space="preserve">वन क्षेत्र
Wild  area
</t>
  </si>
  <si>
    <t xml:space="preserve">प्रमाणन प्रक्रिया के अधीन कुल कृष्ट क्षेत्र
Total area cultivated under certification process 
</t>
  </si>
  <si>
    <t xml:space="preserve">रूपांतरण के अधीन कुल कृष्ट क्षेत्र
In Conversion cultivated  Area 
</t>
  </si>
  <si>
    <t xml:space="preserve">प्रमाणित जैविक कृष्ट क्षेत्र
Certified cultivated organic Area 
</t>
  </si>
  <si>
    <r>
      <rPr>
        <b/>
        <sz val="11"/>
        <rFont val="Calibri"/>
        <family val="2"/>
        <scheme val="minor"/>
      </rPr>
      <t>राज्‍य/संघ राज्‍य क्षेत्र</t>
    </r>
  </si>
  <si>
    <t>Total cultivated + Wild 
कुल कृष्ट +वन</t>
  </si>
  <si>
    <t>Wild  area
वन क्षेत्र</t>
  </si>
  <si>
    <t xml:space="preserve">Total area cultivated under certification process 
प्रमाणन प्रक्रिया के अधीन कुल कृष्ट क्षेत्र
</t>
  </si>
  <si>
    <t>In Conversion cultivated  Area 
रूपांतरण के अधीन कुल कृष्ट क्षेत्र</t>
  </si>
  <si>
    <t>Certified cultivated organic Area 
प्रमाणित जैविक कृष्ट क्षेत्र</t>
  </si>
  <si>
    <t xml:space="preserve">   वर्ष/Year  2020-21                         ( क्षेत्रफल हेक्टर में/area in hectares )</t>
  </si>
  <si>
    <t>Year / वर्ष 2019-20                                               (area in hectares/ क्षेत्रफल हेक्टर में )</t>
  </si>
  <si>
    <t>(area in hectares/ क्षेत्रफल हेक्टर में 2018-19)</t>
  </si>
  <si>
    <t>विवरण 2.34 (क): जैविक खेती के अधीन राज्यवार क्षेत्रफल (प्रत्यायित प्रमाणन संस्थाओ के तहत पंजीकृत)</t>
  </si>
  <si>
    <t>विवरण 2.35 : जैविक खेती के अधीन राज्यवार क्षेत्रफल (प्रत्यायित प्रमाणन संस्थाओ के तहत पंजीकृत)</t>
  </si>
  <si>
    <t>Statement 2.34 (a)  : State-wise  area under organic farming  (Registered under accredited certification bodies)</t>
  </si>
  <si>
    <t>Statement 2.35  : State-wise   area under organic farming  (Registered under accredited certification bodies)</t>
  </si>
  <si>
    <r>
      <t xml:space="preserve">Source/स्रोत : </t>
    </r>
    <r>
      <rPr>
        <b/>
        <sz val="11"/>
        <rFont val="Calibri"/>
        <family val="2"/>
        <scheme val="minor"/>
      </rPr>
      <t>https://parivesh.nic.in</t>
    </r>
    <r>
      <rPr>
        <sz val="11"/>
        <rFont val="Calibri"/>
        <family val="2"/>
        <scheme val="minor"/>
      </rPr>
      <t xml:space="preserve"> </t>
    </r>
    <r>
      <rPr>
        <sz val="11"/>
        <rFont val="Times New Roman"/>
        <family val="1"/>
      </rPr>
      <t>(During the Period : 25/10/1980 to 31/12/2021)</t>
    </r>
  </si>
  <si>
    <t xml:space="preserve">संचयी विपथित क्षेत्र
Cumulative Area Diverted
</t>
  </si>
  <si>
    <t xml:space="preserve">विपथित वन क्षेत्र
Forest Area Diverted
</t>
  </si>
  <si>
    <t xml:space="preserve"> वर्ष
Year
</t>
  </si>
  <si>
    <t>(क्षेत्रफल हेक्‍टेयर में/Area in ha.)</t>
  </si>
  <si>
    <t>Telengana</t>
  </si>
  <si>
    <t>http://164.100.161.63/publication/state-wise-and-item-wise-value-output-agriculture-forestry-and-fishing-2011-12-2019-20</t>
  </si>
  <si>
    <t>लक्षद्वीप</t>
  </si>
  <si>
    <t>अंडमान एवं निकोबार दीप समूह</t>
  </si>
  <si>
    <t>उत्तराखंड</t>
  </si>
  <si>
    <t>State / UT</t>
  </si>
  <si>
    <t>( रुपए लाख में/Rs. In Lakh/ )</t>
  </si>
  <si>
    <t xml:space="preserve">स्रोत: राज्य वार और मद वार कृषि और सम्बद्ध क्षेत्रों के उत्पादन मूल्य (2011-12 से 2019-20)
Source: Statewise and item-wise estimates of value of output from agriculture and allied sectors  (2011-12 to 2019-20), NSO, MoS&amp;PI, New Delhi
</t>
  </si>
  <si>
    <t>Himacha lPradesh</t>
  </si>
  <si>
    <t>( रुपए लाख में/Rs. in Lakh )</t>
  </si>
  <si>
    <r>
      <rPr>
        <sz val="11"/>
        <color theme="1"/>
        <rFont val="Calibri"/>
        <family val="2"/>
        <scheme val="minor"/>
      </rPr>
      <t>पुद्दुचेरी</t>
    </r>
  </si>
  <si>
    <r>
      <rPr>
        <sz val="11"/>
        <color theme="1"/>
        <rFont val="Calibri"/>
        <family val="2"/>
        <scheme val="minor"/>
      </rPr>
      <t>लक्षद्वीप</t>
    </r>
  </si>
  <si>
    <r>
      <rPr>
        <sz val="11"/>
        <color theme="1"/>
        <rFont val="Calibri"/>
        <family val="2"/>
        <scheme val="minor"/>
      </rPr>
      <t>दिल्ली</t>
    </r>
  </si>
  <si>
    <r>
      <rPr>
        <sz val="11"/>
        <color theme="1"/>
        <rFont val="Calibri"/>
        <family val="2"/>
        <scheme val="minor"/>
      </rPr>
      <t>दमन एवं दीव</t>
    </r>
  </si>
  <si>
    <r>
      <rPr>
        <sz val="11"/>
        <color theme="1"/>
        <rFont val="Calibri"/>
        <family val="2"/>
        <scheme val="minor"/>
      </rPr>
      <t>दादरा एवं नगर हवेली</t>
    </r>
  </si>
  <si>
    <r>
      <rPr>
        <sz val="11"/>
        <color theme="1"/>
        <rFont val="Calibri"/>
        <family val="2"/>
        <scheme val="minor"/>
      </rPr>
      <t>चंडीगढ़</t>
    </r>
  </si>
  <si>
    <r>
      <rPr>
        <sz val="11"/>
        <color theme="1"/>
        <rFont val="Calibri"/>
        <family val="2"/>
        <scheme val="minor"/>
      </rPr>
      <t>अंडमान एवं निकोबार दीप समूह</t>
    </r>
  </si>
  <si>
    <r>
      <rPr>
        <sz val="11"/>
        <color theme="1"/>
        <rFont val="Calibri"/>
        <family val="2"/>
        <scheme val="minor"/>
      </rPr>
      <t>उत्तराखंड</t>
    </r>
  </si>
  <si>
    <r>
      <rPr>
        <sz val="11"/>
        <color theme="1"/>
        <rFont val="Calibri"/>
        <family val="2"/>
        <scheme val="minor"/>
      </rPr>
      <t>उत्तर प्रदेश</t>
    </r>
  </si>
  <si>
    <r>
      <rPr>
        <sz val="11"/>
        <color theme="1"/>
        <rFont val="Calibri"/>
        <family val="2"/>
        <scheme val="minor"/>
      </rPr>
      <t>तेलंगाना</t>
    </r>
  </si>
  <si>
    <t>TamilNadu</t>
  </si>
  <si>
    <r>
      <rPr>
        <sz val="11"/>
        <color theme="1"/>
        <rFont val="Calibri"/>
        <family val="2"/>
        <scheme val="minor"/>
      </rPr>
      <t>तमिलनाडु</t>
    </r>
  </si>
  <si>
    <r>
      <rPr>
        <sz val="11"/>
        <color theme="1"/>
        <rFont val="Calibri"/>
        <family val="2"/>
        <scheme val="minor"/>
      </rPr>
      <t>सिक्किम</t>
    </r>
  </si>
  <si>
    <r>
      <rPr>
        <sz val="11"/>
        <color theme="1"/>
        <rFont val="Calibri"/>
        <family val="2"/>
        <scheme val="minor"/>
      </rPr>
      <t>राजस्थान</t>
    </r>
  </si>
  <si>
    <r>
      <rPr>
        <sz val="11"/>
        <color theme="1"/>
        <rFont val="Calibri"/>
        <family val="2"/>
        <scheme val="minor"/>
      </rPr>
      <t>पंजाब</t>
    </r>
  </si>
  <si>
    <r>
      <rPr>
        <sz val="11"/>
        <color theme="1"/>
        <rFont val="Calibri"/>
        <family val="2"/>
        <scheme val="minor"/>
      </rPr>
      <t>नागालैंड</t>
    </r>
  </si>
  <si>
    <r>
      <rPr>
        <sz val="11"/>
        <color theme="1"/>
        <rFont val="Calibri"/>
        <family val="2"/>
        <scheme val="minor"/>
      </rPr>
      <t>मिजोरम</t>
    </r>
  </si>
  <si>
    <r>
      <rPr>
        <sz val="11"/>
        <color theme="1"/>
        <rFont val="Calibri"/>
        <family val="2"/>
        <scheme val="minor"/>
      </rPr>
      <t>मेघालय</t>
    </r>
  </si>
  <si>
    <r>
      <rPr>
        <sz val="11"/>
        <color theme="1"/>
        <rFont val="Calibri"/>
        <family val="2"/>
        <scheme val="minor"/>
      </rPr>
      <t>मणिपुर</t>
    </r>
  </si>
  <si>
    <r>
      <rPr>
        <sz val="11"/>
        <color theme="1"/>
        <rFont val="Calibri"/>
        <family val="2"/>
        <scheme val="minor"/>
      </rPr>
      <t>मध्य प्रदेश</t>
    </r>
  </si>
  <si>
    <r>
      <rPr>
        <sz val="11"/>
        <color theme="1"/>
        <rFont val="Calibri"/>
        <family val="2"/>
        <scheme val="minor"/>
      </rPr>
      <t>केरल</t>
    </r>
  </si>
  <si>
    <r>
      <rPr>
        <sz val="11"/>
        <color theme="1"/>
        <rFont val="Calibri"/>
        <family val="2"/>
        <scheme val="minor"/>
      </rPr>
      <t>कर्नाटक</t>
    </r>
  </si>
  <si>
    <r>
      <rPr>
        <sz val="11"/>
        <color theme="1"/>
        <rFont val="Calibri"/>
        <family val="2"/>
        <scheme val="minor"/>
      </rPr>
      <t>जम्‍मू एवं कश्‍मीर</t>
    </r>
  </si>
  <si>
    <r>
      <rPr>
        <sz val="11"/>
        <color theme="1"/>
        <rFont val="Calibri"/>
        <family val="2"/>
        <scheme val="minor"/>
      </rPr>
      <t>हिमाचल प्रदेश</t>
    </r>
  </si>
  <si>
    <r>
      <rPr>
        <sz val="11"/>
        <color theme="1"/>
        <rFont val="Calibri"/>
        <family val="2"/>
        <scheme val="minor"/>
      </rPr>
      <t>हरियाणा</t>
    </r>
  </si>
  <si>
    <r>
      <rPr>
        <sz val="11"/>
        <color theme="1"/>
        <rFont val="Calibri"/>
        <family val="2"/>
        <scheme val="minor"/>
      </rPr>
      <t>गुजरात</t>
    </r>
  </si>
  <si>
    <r>
      <rPr>
        <sz val="11"/>
        <color theme="1"/>
        <rFont val="Calibri"/>
        <family val="2"/>
        <scheme val="minor"/>
      </rPr>
      <t>गोवा</t>
    </r>
  </si>
  <si>
    <r>
      <rPr>
        <sz val="11"/>
        <color theme="1"/>
        <rFont val="Calibri"/>
        <family val="2"/>
        <scheme val="minor"/>
      </rPr>
      <t>बिहार</t>
    </r>
  </si>
  <si>
    <r>
      <rPr>
        <sz val="11"/>
        <color theme="1"/>
        <rFont val="Calibri"/>
        <family val="2"/>
        <scheme val="minor"/>
      </rPr>
      <t>असम</t>
    </r>
  </si>
  <si>
    <r>
      <rPr>
        <sz val="11"/>
        <color theme="1"/>
        <rFont val="Calibri"/>
        <family val="2"/>
        <scheme val="minor"/>
      </rPr>
      <t>अरुणाचल प्रदेश</t>
    </r>
  </si>
  <si>
    <r>
      <rPr>
        <sz val="11"/>
        <color theme="1"/>
        <rFont val="Calibri"/>
        <family val="2"/>
        <scheme val="minor"/>
      </rPr>
      <t>आंध्र प्रदेश</t>
    </r>
  </si>
  <si>
    <t>(रु.लाख में/Rs. in lakh)</t>
  </si>
  <si>
    <t>स्रोत :  आर्थिक एवं सांख्यिकी निदेशालय, कृषि एवं किसान कल्‍याण मंत्रालय</t>
  </si>
  <si>
    <t># As per 1st Advance Estimates (kharif only).</t>
  </si>
  <si>
    <t>* As per 4th Advance Estimates.</t>
  </si>
  <si>
    <t>Sources:  Directorate of Economics and Statistics, Ministry of Agriculture and Farmers Welfare</t>
  </si>
  <si>
    <t>2022-23#</t>
  </si>
  <si>
    <t>2021-22*</t>
  </si>
  <si>
    <t xml:space="preserve">2004-05 </t>
  </si>
  <si>
    <t xml:space="preserve">1999-00 </t>
  </si>
  <si>
    <t xml:space="preserve">1998-99 </t>
  </si>
  <si>
    <t xml:space="preserve">1997-98 </t>
  </si>
  <si>
    <t xml:space="preserve">1996-97 </t>
  </si>
  <si>
    <t xml:space="preserve">Total Foodgrains
कुल खाद्यान्न </t>
  </si>
  <si>
    <t>Total Pulses
कुल दलहन</t>
  </si>
  <si>
    <t>Other pulses (Excl. Gram &amp; Tur or Arhar) 
अन्य दलहन (चना एवं तूर या अरहर को छोड़कर)</t>
  </si>
  <si>
    <t>Tur or Arhar 
तूर या अरहर</t>
  </si>
  <si>
    <t xml:space="preserve">Gram 
चना </t>
  </si>
  <si>
    <t>Total Cereals &amp; Millets
कुल अनाज एवं मोटा अनाज</t>
  </si>
  <si>
    <t>Other Cereals &amp; Millets
अन्य अनाज एवं मोटा अनाज</t>
  </si>
  <si>
    <t>Barley
जौ</t>
  </si>
  <si>
    <t xml:space="preserve">Wheat
गेहूँ </t>
  </si>
  <si>
    <t>Ragi/ Marua
रागी/मरुआ</t>
  </si>
  <si>
    <t>Maize
मक्‍का</t>
  </si>
  <si>
    <t xml:space="preserve">Bajra
बाजरा </t>
  </si>
  <si>
    <t>Jowar
ज्वार</t>
  </si>
  <si>
    <t xml:space="preserve">Rice
चावल </t>
  </si>
  <si>
    <t xml:space="preserve">Foodgrains
खाद्यान्न </t>
  </si>
  <si>
    <t>Year
 वर्ष</t>
  </si>
  <si>
    <t>(Thousand Hectares/हजार हेक्टेयर में)</t>
  </si>
  <si>
    <t>स्रोत:  आर्थिक एवं सांख्यिकी निदेशालय, कृषि एवं किसान कल्‍याण मंत्रालय</t>
  </si>
  <si>
    <t>*First Advance Estimates (kharif only) as on 21.09.2022</t>
  </si>
  <si>
    <t>** Fourth Advance Estimates as on 21.09.2022</t>
  </si>
  <si>
    <t>#: Lakh bales of 170 kgs each # #: lakh bales of 180 kgs each</t>
  </si>
  <si>
    <t xml:space="preserve"> गन्ना</t>
  </si>
  <si>
    <t>Sugarcane</t>
  </si>
  <si>
    <t xml:space="preserve"> जूट और मेस्टा # #</t>
  </si>
  <si>
    <t>Jute &amp; Mesta # #</t>
  </si>
  <si>
    <t xml:space="preserve"> मेस्टा # #</t>
  </si>
  <si>
    <t>Mesta # #</t>
  </si>
  <si>
    <t xml:space="preserve"> जूट # #</t>
  </si>
  <si>
    <t>Jute # #</t>
  </si>
  <si>
    <t xml:space="preserve"> कपास #</t>
  </si>
  <si>
    <t>Cotton #</t>
  </si>
  <si>
    <t xml:space="preserve"> कुल नौ तिलहन</t>
  </si>
  <si>
    <t>Kharif</t>
  </si>
  <si>
    <t>Total Nine Oilseeds</t>
  </si>
  <si>
    <t xml:space="preserve"> सोयाबीन</t>
  </si>
  <si>
    <t>Soybean</t>
  </si>
  <si>
    <t xml:space="preserve"> सूरजमुखी</t>
  </si>
  <si>
    <t>Sunflower</t>
  </si>
  <si>
    <t xml:space="preserve"> कुसुम/कुसुंभ फूल</t>
  </si>
  <si>
    <t>Rabi</t>
  </si>
  <si>
    <t>Safflower</t>
  </si>
  <si>
    <t xml:space="preserve"> तीसी</t>
  </si>
  <si>
    <t>Linseed</t>
  </si>
  <si>
    <t xml:space="preserve"> सफेद सरसों एवं सरसों</t>
  </si>
  <si>
    <t>Rapeseed &amp; Mustard</t>
  </si>
  <si>
    <t xml:space="preserve"> नाइजर के बीज</t>
  </si>
  <si>
    <t>Nigerseed</t>
  </si>
  <si>
    <t xml:space="preserve"> तिल</t>
  </si>
  <si>
    <t>Sesamum</t>
  </si>
  <si>
    <t xml:space="preserve"> अरंडी के बीज</t>
  </si>
  <si>
    <t>Castorseed</t>
  </si>
  <si>
    <t xml:space="preserve"> मूंगफली</t>
  </si>
  <si>
    <t>Groundnut</t>
  </si>
  <si>
    <t>(लाख टनो में)</t>
  </si>
  <si>
    <t>(In Lakh Tonnes)</t>
  </si>
  <si>
    <t xml:space="preserve"> कुल खाद्यान्न</t>
  </si>
  <si>
    <t>Total Foodgrains</t>
  </si>
  <si>
    <t xml:space="preserve"> कुल दालें</t>
  </si>
  <si>
    <t>Total Pulses</t>
  </si>
  <si>
    <t xml:space="preserve"> अनाज</t>
  </si>
  <si>
    <t>Cereals</t>
  </si>
  <si>
    <t xml:space="preserve"> मोटे अनाज</t>
  </si>
  <si>
    <t>Coarse Cereals</t>
  </si>
  <si>
    <t xml:space="preserve"> गेहूँ</t>
  </si>
  <si>
    <t>Wheat</t>
  </si>
  <si>
    <t xml:space="preserve"> चावल</t>
  </si>
  <si>
    <t>Rice</t>
  </si>
  <si>
    <t>फसल</t>
  </si>
  <si>
    <t>2022-23*</t>
  </si>
  <si>
    <t>2021-22**</t>
  </si>
  <si>
    <t>Season</t>
  </si>
  <si>
    <t>Crop</t>
  </si>
  <si>
    <t>(in Million Tonnes/मिलियन टन में)</t>
  </si>
  <si>
    <t>(as on 09.01.2023)</t>
  </si>
  <si>
    <t>P- Provisional</t>
  </si>
  <si>
    <t>* Based on Gross Cropped Area upto 2012-13 and for 2012-13 and 2014-15, GCA is estimated in Zonal Conference.</t>
  </si>
  <si>
    <t>Source :  Agricultural Statistics at a Glance 2020,  Department of Agriculture, Cooperation &amp; Farmers Welfare</t>
  </si>
  <si>
    <t>स्रोत :  कृषि सांख्यिकी एक झलक  2020, कृषि, सहयोग और किसान कल्याण विभाग, कृषि एंव किसान कल्याण मंत्रालय</t>
  </si>
  <si>
    <t xml:space="preserve">Consumption of Pesticides(Technical Grade) </t>
  </si>
  <si>
    <t>Thousand Tonnes</t>
  </si>
  <si>
    <t xml:space="preserve">कीटनाशकों (तकनीकी ग्रेड) की खपत </t>
  </si>
  <si>
    <t>3.</t>
  </si>
  <si>
    <t>Per Hectare*</t>
  </si>
  <si>
    <t>प्रति हेक्टेयर</t>
  </si>
  <si>
    <t>Total (N+P+K)</t>
  </si>
  <si>
    <t>Lakh Tonnes</t>
  </si>
  <si>
    <t>कुल (N+P+K)</t>
  </si>
  <si>
    <r>
      <t>III.</t>
    </r>
    <r>
      <rPr>
        <sz val="11"/>
        <rFont val="Calibri"/>
        <family val="2"/>
        <scheme val="minor"/>
      </rPr>
      <t xml:space="preserve"> Potassic(K)</t>
    </r>
  </si>
  <si>
    <r>
      <t>III.</t>
    </r>
    <r>
      <rPr>
        <sz val="11"/>
        <color theme="1"/>
        <rFont val="Calibri"/>
        <family val="2"/>
        <scheme val="minor"/>
      </rPr>
      <t xml:space="preserve"> पोटाश (K)</t>
    </r>
  </si>
  <si>
    <r>
      <t xml:space="preserve">II. </t>
    </r>
    <r>
      <rPr>
        <sz val="11"/>
        <rFont val="Calibri"/>
        <family val="2"/>
        <scheme val="minor"/>
      </rPr>
      <t xml:space="preserve"> Phosphatic(P)</t>
    </r>
  </si>
  <si>
    <r>
      <t xml:space="preserve">II </t>
    </r>
    <r>
      <rPr>
        <sz val="11"/>
        <color theme="1"/>
        <rFont val="Calibri"/>
        <family val="2"/>
        <scheme val="minor"/>
      </rPr>
      <t xml:space="preserve"> फॉस्फेटिक (P)</t>
    </r>
  </si>
  <si>
    <r>
      <t xml:space="preserve">I. </t>
    </r>
    <r>
      <rPr>
        <sz val="11"/>
        <rFont val="Calibri"/>
        <family val="2"/>
        <scheme val="minor"/>
      </rPr>
      <t xml:space="preserve">  Nitrogenous(N)</t>
    </r>
  </si>
  <si>
    <r>
      <t xml:space="preserve">I. </t>
    </r>
    <r>
      <rPr>
        <sz val="11"/>
        <color theme="1"/>
        <rFont val="Calibri"/>
        <family val="2"/>
        <scheme val="minor"/>
      </rPr>
      <t xml:space="preserve">  नाइट्रोजनी (N)</t>
    </r>
  </si>
  <si>
    <t>Consumption of Chemical Fertilizers</t>
  </si>
  <si>
    <t>रासायनिक उर्वरकों की खपत</t>
  </si>
  <si>
    <t>2.</t>
  </si>
  <si>
    <r>
      <t>III.</t>
    </r>
    <r>
      <rPr>
        <sz val="11"/>
        <rFont val="Calibri"/>
        <family val="2"/>
        <scheme val="minor"/>
      </rPr>
      <t xml:space="preserve"> Distribution of  Certified/Quality   Seeds</t>
    </r>
  </si>
  <si>
    <t>Lakh Quintals</t>
  </si>
  <si>
    <r>
      <t>III.</t>
    </r>
    <r>
      <rPr>
        <sz val="11"/>
        <color theme="1"/>
        <rFont val="Calibri"/>
        <family val="2"/>
        <scheme val="minor"/>
      </rPr>
      <t xml:space="preserve"> प्रमाणित/अच्छे बीजों का वितरण</t>
    </r>
  </si>
  <si>
    <r>
      <t>II.</t>
    </r>
    <r>
      <rPr>
        <sz val="11"/>
        <rFont val="Calibri"/>
        <family val="2"/>
        <scheme val="minor"/>
      </rPr>
      <t xml:space="preserve">  Production of   Foundation Seeds</t>
    </r>
  </si>
  <si>
    <r>
      <t>II</t>
    </r>
    <r>
      <rPr>
        <sz val="11"/>
        <color theme="1"/>
        <rFont val="Calibri"/>
        <family val="2"/>
        <scheme val="minor"/>
      </rPr>
      <t xml:space="preserve">  आधार बीजों का उत्‍पादन</t>
    </r>
  </si>
  <si>
    <r>
      <t xml:space="preserve">I.   </t>
    </r>
    <r>
      <rPr>
        <sz val="11"/>
        <rFont val="Calibri"/>
        <family val="2"/>
        <scheme val="minor"/>
      </rPr>
      <t>Production of  Breeder Seeds</t>
    </r>
  </si>
  <si>
    <t>Thousand Quintals</t>
  </si>
  <si>
    <r>
      <t xml:space="preserve">I.   </t>
    </r>
    <r>
      <rPr>
        <sz val="11"/>
        <color theme="1"/>
        <rFont val="Calibri"/>
        <family val="2"/>
        <scheme val="minor"/>
      </rPr>
      <t>प्रजनक बीजों का उत्पादन</t>
    </r>
  </si>
  <si>
    <t>Seeds</t>
  </si>
  <si>
    <t>बीज</t>
  </si>
  <si>
    <t>1.</t>
  </si>
  <si>
    <t>Programme</t>
  </si>
  <si>
    <t xml:space="preserve">यूनिट
Unit
</t>
  </si>
  <si>
    <t>कार्यक्रम</t>
  </si>
  <si>
    <t>p-43/c</t>
  </si>
  <si>
    <t>.--: Implies not indicated from sources</t>
  </si>
  <si>
    <t>*  UTs namely A&amp;N, D&amp;D, D&amp;D &amp; Lakshdweep have  no  value for all the indicator</t>
  </si>
  <si>
    <t>*  UTs namely A&amp;N, D&amp;D, D&amp;D &amp; Lakshdweep have  no value for all the indicator</t>
  </si>
  <si>
    <t>^Unified data of Jammu &amp; Kashmir and Ladakh</t>
  </si>
  <si>
    <t>Source:  National Center of Organic Farming , Department  of Agriculture Cooperation &amp; Farmers Welfare</t>
  </si>
  <si>
    <t>Source:National Center of Organic Farming , Department  of Agriculture Cooperation &amp; Farmers Welfare</t>
  </si>
  <si>
    <t>Source: Annual Report 2016-17, National Center of Organic Farming , Department  of Agriculture Cooperation &amp; Farmers Welfare</t>
  </si>
  <si>
    <t>स्रोत: राष्‍ट्रीय जैविक कृषि केंद्र, कृषि एवं सहयोग विभाग, कृषि एवं किसान कल्‍याण मंत्रालय</t>
  </si>
  <si>
    <t xml:space="preserve">  पश्चिम बंगाल </t>
  </si>
  <si>
    <t xml:space="preserve">Uttarakhand </t>
  </si>
  <si>
    <t xml:space="preserve">  उत्तराखंड </t>
  </si>
  <si>
    <t xml:space="preserve">  उत्तर प्रदेश </t>
  </si>
  <si>
    <t xml:space="preserve">  त्रिपुरा </t>
  </si>
  <si>
    <t xml:space="preserve">  तमिलनाडु </t>
  </si>
  <si>
    <t xml:space="preserve">  सिक्किम </t>
  </si>
  <si>
    <t xml:space="preserve">  राजस्थान </t>
  </si>
  <si>
    <t xml:space="preserve">Punjab </t>
  </si>
  <si>
    <t xml:space="preserve">  पंजाब </t>
  </si>
  <si>
    <t xml:space="preserve">  मेघालय </t>
  </si>
  <si>
    <t xml:space="preserve">  मणिपुर </t>
  </si>
  <si>
    <t xml:space="preserve">  महाराष्ट्र </t>
  </si>
  <si>
    <t xml:space="preserve">  मध्य प्रदेश </t>
  </si>
  <si>
    <t xml:space="preserve">  कर्नाटक </t>
  </si>
  <si>
    <t xml:space="preserve">Jharkhand </t>
  </si>
  <si>
    <t xml:space="preserve">  झारखंड </t>
  </si>
  <si>
    <t>Jammu &amp; Kashmir ^</t>
  </si>
  <si>
    <t xml:space="preserve">  जम्‍मू एवं कश्‍मीर ^</t>
  </si>
  <si>
    <t xml:space="preserve">  हरियाणा </t>
  </si>
  <si>
    <t>0 </t>
  </si>
  <si>
    <t xml:space="preserve">Gujarat </t>
  </si>
  <si>
    <t xml:space="preserve">  गुजरात </t>
  </si>
  <si>
    <t xml:space="preserve">Goa </t>
  </si>
  <si>
    <t xml:space="preserve">  गोवा </t>
  </si>
  <si>
    <t xml:space="preserve">  छत्तीसगढ़ </t>
  </si>
  <si>
    <t xml:space="preserve">  आंध्र प्रदेश </t>
  </si>
  <si>
    <t xml:space="preserve">कुल खाद लाख मीट्रिक टन
Total Manure lakh MT (A+B+C+D+E+F+G)
 </t>
  </si>
  <si>
    <t xml:space="preserve">फार्मयार्ड खाद
Farm Yard Manure (G)
</t>
  </si>
  <si>
    <t xml:space="preserve">ग्रामीण कंपोस्‍ट
Rural Compost (F) 
</t>
  </si>
  <si>
    <t>Bioenriched Organic Manure (MT) (E)</t>
  </si>
  <si>
    <t xml:space="preserve">फॉस्फेट प्रचुर जैविक खाद  
Phosphate rich organic manure (PROM) (D)
 </t>
  </si>
  <si>
    <t xml:space="preserve">वर्मी कंपोस्‍ट 
Vermi-compost (C)
</t>
  </si>
  <si>
    <t xml:space="preserve">जैविक खाद
Organic manure (B)
</t>
  </si>
  <si>
    <t xml:space="preserve">नगर कंपोस्‍ट
City Compost  (A)
</t>
  </si>
  <si>
    <t>Total Manure lakh MT (A+B+C+D+E+F+G)
 कुल खाद लाख मीट्रिक टन</t>
  </si>
  <si>
    <t>Farm Yard Manure (G)
फार्मयार्ड खाद</t>
  </si>
  <si>
    <t>Rural Compost (F) 
ग्रामीण कंपोस्‍ट</t>
  </si>
  <si>
    <t xml:space="preserve">Phosphate rich organic manure (PROM) (D)
 फॉस्फेट प्रचुर जैविक खाद  </t>
  </si>
  <si>
    <t xml:space="preserve">Vermi-compost (C)
वर्मी कंपोस्‍ट </t>
  </si>
  <si>
    <t>Organic manure (B)
जैविक खाद</t>
  </si>
  <si>
    <t>City Compost  (A)
नगर कंपोस्‍ट</t>
  </si>
  <si>
    <t>Total Manure lakh MT
कुल खाद लाख मीट्रिक टन</t>
  </si>
  <si>
    <t>Others 
अन्‍य</t>
  </si>
  <si>
    <t xml:space="preserve">Phosphate rich organic manure (PROM) 
 फॉस्फेट प्रचुर जैविक खाद  </t>
  </si>
  <si>
    <t xml:space="preserve">Vermi-compost 
वर्मी कंपोस्‍ट </t>
  </si>
  <si>
    <t>City Compost
नगर कंपोस्‍ट</t>
  </si>
  <si>
    <t>Farm Yard Manure 
फार्मयार्ड खाद</t>
  </si>
  <si>
    <t>Organic manure
जैविक खाद</t>
  </si>
  <si>
    <t>Total Manure lakh MT
 कुल खाद लाख मीट्रिक टन</t>
  </si>
  <si>
    <t>Other manures* 
अन्‍य खाद</t>
  </si>
  <si>
    <t xml:space="preserve">Vermi-compost
वर्मी कंपोस्‍ट </t>
  </si>
  <si>
    <t>City Compost 
नगर कंपोस्‍ट</t>
  </si>
  <si>
    <t>Farm Yard Manure
फार्मयार्ड खाद</t>
  </si>
  <si>
    <t>Rural Compost 
ग्रामीण कंपोस्‍ट</t>
  </si>
  <si>
    <t>वर्ष/Year 2020-21</t>
  </si>
  <si>
    <t>Year/वर्ष 2019-20</t>
  </si>
  <si>
    <t>Year/वर्ष 2018-19</t>
  </si>
  <si>
    <t>Year/वर्ष 2017-18</t>
  </si>
  <si>
    <t>Year/वर्ष 2016-17</t>
  </si>
  <si>
    <t xml:space="preserve">                          विवरण 2.42 : जैविक खादों का राज्यवार उत्पादन </t>
  </si>
  <si>
    <t xml:space="preserve">विवरण 2.42 : जैविक खादों का राज्यवार उत्पादन  </t>
  </si>
  <si>
    <t>विवरण 2.42 : जैविक खादों का राज्यवार उत्पादन</t>
  </si>
  <si>
    <t xml:space="preserve">                                                                                विवरण 2.42 : जैविक खादों का राज्यवार उत्पादन</t>
  </si>
  <si>
    <t xml:space="preserve">                                    Statement 2.42: State wise production of organic manures </t>
  </si>
  <si>
    <t xml:space="preserve">Statement 2.42: State wise production of organic manures </t>
  </si>
  <si>
    <t>Statement 2.42: State wise production of organic manures</t>
  </si>
  <si>
    <t>Statement 2.42 : State wise production of organic manures</t>
  </si>
  <si>
    <t>Source:  National Center of Organic Farming, Department  of Agriculture  Cooperation &amp; Farmers Welfare</t>
  </si>
  <si>
    <t xml:space="preserve">North East Zone </t>
  </si>
  <si>
    <t xml:space="preserve">East Zone </t>
  </si>
  <si>
    <t>पूर्व जोन</t>
  </si>
  <si>
    <t xml:space="preserve">Jammu &amp; Kashmir* </t>
  </si>
  <si>
    <r>
      <rPr>
        <b/>
        <sz val="11"/>
        <color theme="1"/>
        <rFont val="Calibri"/>
        <family val="2"/>
      </rPr>
      <t>उत्‍तरांचल</t>
    </r>
  </si>
  <si>
    <t>North Zone</t>
  </si>
  <si>
    <r>
      <rPr>
        <b/>
        <sz val="11"/>
        <color theme="1"/>
        <rFont val="Calibri"/>
        <family val="2"/>
      </rPr>
      <t>पश्चिमांचल</t>
    </r>
  </si>
  <si>
    <t>West Zone</t>
  </si>
  <si>
    <t>South Zone</t>
  </si>
  <si>
    <t>दक्षिण अंचल</t>
  </si>
  <si>
    <t xml:space="preserve">द्रव आधारित (केएल में)
Liquid Based   (in KL) 
</t>
  </si>
  <si>
    <t xml:space="preserve">कैरियर आधारित (मीट्रिक टन)
Carrier based (in metric tonnes) 
</t>
  </si>
  <si>
    <t>Liquid Based (in KL)
द्रव आधारित (केएल में)</t>
  </si>
  <si>
    <t>Carrier based (in metric tonnes) 
कैरियर आधारित (मीट्रिक टन)</t>
  </si>
  <si>
    <t>Carrier based (in MT) कैरियर आधारित (मीट्रिक टन)</t>
  </si>
  <si>
    <t>Carrier +Liquid based (in MT) कैरियर + द्रव आधारित (मीट्रिक टन में)</t>
  </si>
  <si>
    <t xml:space="preserve">जैव उर्वरक का वास्तविक उत्पादन
Actual production of biofertilizers
</t>
  </si>
  <si>
    <t>https://chemicals.nic.in/sites/default/files/Annual%20Report%202022%20Date%2017-2-2022%20final%20LOW.pdf</t>
  </si>
  <si>
    <t xml:space="preserve">2. Information on production of Pesticides and Insecticides is only on Technical Grade.  </t>
  </si>
  <si>
    <t xml:space="preserve">Note:1.  Information on Production of Pesticides and Insecticides is based on MPRs received from large and Medium Scale units only. </t>
  </si>
  <si>
    <t>Source : Ministry of Chemicals &amp; Fertilizers Department of Chemicals and Petrochemicals</t>
  </si>
  <si>
    <t xml:space="preserve">स्रोत :  रसायन एवं पेट्रो रसायन विभाग, रसायन एवं उर्वरक मंत्रालय
</t>
  </si>
  <si>
    <t>DICOFOL</t>
  </si>
  <si>
    <t xml:space="preserve"> डिकोफॉल</t>
  </si>
  <si>
    <t>Fumigants</t>
  </si>
  <si>
    <t>धूमक</t>
  </si>
  <si>
    <t>ALUMINIUM PHOSPHIDE</t>
  </si>
  <si>
    <t xml:space="preserve"> ऐलुमीनियम फॉस्‍फाइड</t>
  </si>
  <si>
    <t>ZINC PHOSPHIDE</t>
  </si>
  <si>
    <t xml:space="preserve"> जि़ंक फॉस्‍फाइड</t>
  </si>
  <si>
    <t>Rodenticides</t>
  </si>
  <si>
    <t>कृतंकनाशक</t>
  </si>
  <si>
    <t>ATRAZIN</t>
  </si>
  <si>
    <t xml:space="preserve"> एट्राजि़न</t>
  </si>
  <si>
    <t>DIURON</t>
  </si>
  <si>
    <t xml:space="preserve"> डायरॉन</t>
  </si>
  <si>
    <t>GLYPHOSATE</t>
  </si>
  <si>
    <t xml:space="preserve"> ग्‍लाइफॉसेट</t>
  </si>
  <si>
    <t>ISOPROTURON</t>
  </si>
  <si>
    <t xml:space="preserve"> आइसोप्रोटूरॉन</t>
  </si>
  <si>
    <t>weedicides</t>
  </si>
  <si>
    <t>शैवालनाशक</t>
  </si>
  <si>
    <t>TRICLOPYR ACID TECH</t>
  </si>
  <si>
    <t xml:space="preserve"> ट्राईक्‍लोपिर एसिड तकनीकी</t>
  </si>
  <si>
    <t>METRIBUZIN</t>
  </si>
  <si>
    <t xml:space="preserve"> मेट्रिबुजि़न</t>
  </si>
  <si>
    <t>PENDIMETHALIN</t>
  </si>
  <si>
    <t xml:space="preserve"> पेंडिमेथालिन</t>
  </si>
  <si>
    <t>THIAMETHOXAM TECHNICAL</t>
  </si>
  <si>
    <t xml:space="preserve"> थैमेथॉक्‍साम तकनीकी</t>
  </si>
  <si>
    <t>ETHOFUMESATE TECHNICAL</t>
  </si>
  <si>
    <t xml:space="preserve"> एथाफ्यूमसेट तकनीकी</t>
  </si>
  <si>
    <t>BUTACHLOR</t>
  </si>
  <si>
    <t xml:space="preserve"> बुटाच्‍लोर</t>
  </si>
  <si>
    <t>2, 4-D</t>
  </si>
  <si>
    <t xml:space="preserve"> 2, 4-डी</t>
  </si>
  <si>
    <t>Herbicides</t>
  </si>
  <si>
    <t>तृणनाशक</t>
  </si>
  <si>
    <t>METCONAZOLE</t>
  </si>
  <si>
    <t xml:space="preserve"> मेटकोनाजो़ल</t>
  </si>
  <si>
    <t>HEXACONAZOLE</t>
  </si>
  <si>
    <t xml:space="preserve"> हेक्‍साकोनाजो़ल</t>
  </si>
  <si>
    <t>MANCOZAB</t>
  </si>
  <si>
    <t xml:space="preserve"> मैंकोजा़ब</t>
  </si>
  <si>
    <t>CARBENDZIM(BAVISTIN)</t>
  </si>
  <si>
    <t xml:space="preserve"> कार्बेंडाजि़म (बाविस्‍टन)</t>
  </si>
  <si>
    <t>ZIRAM(THIO BARBAMATE)</t>
  </si>
  <si>
    <t xml:space="preserve"> जि़रम (थायो बार्बामेट)</t>
  </si>
  <si>
    <t>CAPTAN &amp; CAPTAFOL</t>
  </si>
  <si>
    <t xml:space="preserve"> कैप्‍टेन और कैप्‍टाफोल</t>
  </si>
  <si>
    <t>Fungicides</t>
  </si>
  <si>
    <t>कवकनाशक</t>
  </si>
  <si>
    <t xml:space="preserve">संस्‍थापित क्षमता
Installed Capacity
</t>
  </si>
  <si>
    <t>Production
उत्‍पादन</t>
  </si>
  <si>
    <t>Installed Capacity
संस्‍थापित क्षमता</t>
  </si>
  <si>
    <t>Installed Capacity 
संस्‍थापित क्षमता</t>
  </si>
  <si>
    <t>Production  उत्‍पादन</t>
  </si>
  <si>
    <t>Installed Capacity  संस्‍थापित क्षमता</t>
  </si>
  <si>
    <t>Product</t>
  </si>
  <si>
    <t>2018-2019</t>
  </si>
  <si>
    <t>2017-2018</t>
  </si>
  <si>
    <t>2016-2017</t>
  </si>
  <si>
    <t>2015-2016</t>
  </si>
  <si>
    <t>2014-2015</t>
  </si>
  <si>
    <t>2012-2013</t>
  </si>
  <si>
    <t>2011-2012</t>
  </si>
  <si>
    <t>2010-2011</t>
  </si>
  <si>
    <t>उत्‍पाद</t>
  </si>
  <si>
    <t xml:space="preserve"> (in 'MT / मीट्रिक टन में)</t>
  </si>
  <si>
    <t>*2. Information on  Production and Installed Capacity of Pesticides &amp; Insecticides includes only Technical Grade</t>
  </si>
  <si>
    <t>*Note:1.  Information on Production and Installed Capacity of Pesticides &amp; Insecticides is based on MPRs received manufacturer under large and Medium Scale units only monitored by S&amp;M Division of DCPC.</t>
  </si>
  <si>
    <t>स्रोत :  रसायन एवं पेट्रो रसायन विभाग, रसायन एवं उर्वरक मंत्रालय Source :Ministry of Chemicals &amp; Fertilizers Department of Chemicals and Petrochemicals</t>
  </si>
  <si>
    <t>डिकोफोल</t>
  </si>
  <si>
    <t>एल्युमिनियम फास्फाइड</t>
  </si>
  <si>
    <t>डायरॉन</t>
  </si>
  <si>
    <t>मेटकोनाजोल</t>
  </si>
  <si>
    <t>एथोफ्यूमेसेट तकनीकी</t>
  </si>
  <si>
    <t>बुटाक्लोर</t>
  </si>
  <si>
    <t>हेक्साकोनाज़ोल</t>
  </si>
  <si>
    <t>मैनकोज़ैब</t>
  </si>
  <si>
    <t>कार्बेन्ड्ज़िम (बाविस्टिन)</t>
  </si>
  <si>
    <t>ज़िरम (थियो बारबामेट)</t>
  </si>
  <si>
    <t>कैप्टन और कैप्टाफोल</t>
  </si>
  <si>
    <t>पेंडीमेथेलिन</t>
  </si>
  <si>
    <t>IMIDACALOPRID TECH</t>
  </si>
  <si>
    <t xml:space="preserve">  इमिडाकालोप्रिड टेक</t>
  </si>
  <si>
    <t>PERMETHRIN TECH</t>
  </si>
  <si>
    <t xml:space="preserve">  पर्मिथ्रिन टेक</t>
  </si>
  <si>
    <t>PHENTHOATE</t>
  </si>
  <si>
    <t xml:space="preserve">  फेनथोऐट</t>
  </si>
  <si>
    <t>LAMBDA CYHALOTHRIN</t>
  </si>
  <si>
    <t xml:space="preserve">  लाम्ब्डा सिहालोथ्रिन</t>
  </si>
  <si>
    <t>PRETILACHLOR TECHNICAL</t>
  </si>
  <si>
    <t xml:space="preserve">  प्रीटिलैचलर तकनीकी</t>
  </si>
  <si>
    <t>PROFENOFOS TECHNICAL</t>
  </si>
  <si>
    <t xml:space="preserve">  प्रोफेनफोस टेक्निकल</t>
  </si>
  <si>
    <t>ALPHAMETHRIN</t>
  </si>
  <si>
    <t xml:space="preserve">  अल्फामिथ्रीन</t>
  </si>
  <si>
    <t>DELTAMETHRIN</t>
  </si>
  <si>
    <t xml:space="preserve">  डेल्टामिथ्रीन</t>
  </si>
  <si>
    <t>TEMEPHOS</t>
  </si>
  <si>
    <t xml:space="preserve">  टेमेफोस</t>
  </si>
  <si>
    <t>TRIAZOPHOS</t>
  </si>
  <si>
    <t xml:space="preserve">  ट्राइज़ोफोस</t>
  </si>
  <si>
    <t>CHLORPYRIPHOS</t>
  </si>
  <si>
    <t xml:space="preserve">  क्लोरपाइरीफोस</t>
  </si>
  <si>
    <t>ACEPHATE</t>
  </si>
  <si>
    <t xml:space="preserve">  एसीफेट</t>
  </si>
  <si>
    <t>CYPERMETHRIN</t>
  </si>
  <si>
    <t xml:space="preserve">  साइपरमीथ्रीन</t>
  </si>
  <si>
    <t>FENVALERATE</t>
  </si>
  <si>
    <t xml:space="preserve">  फेनवालरेट</t>
  </si>
  <si>
    <t>ENDOSULPHAN</t>
  </si>
  <si>
    <t xml:space="preserve">  एंडोसुल्फान</t>
  </si>
  <si>
    <t>ETHION</t>
  </si>
  <si>
    <t xml:space="preserve">  ईथीऑन</t>
  </si>
  <si>
    <t>PHORATE</t>
  </si>
  <si>
    <t xml:space="preserve">  फोरेट</t>
  </si>
  <si>
    <t>PHOSPHAMIDON</t>
  </si>
  <si>
    <t xml:space="preserve">  फॉस्फामिडोन</t>
  </si>
  <si>
    <t>MONOCROTOPHOS</t>
  </si>
  <si>
    <t xml:space="preserve">  मोनोक्रोटोफोस</t>
  </si>
  <si>
    <t>QUINALPHOS</t>
  </si>
  <si>
    <t xml:space="preserve">  क्यूनीलफोस</t>
  </si>
  <si>
    <t>D.D.V.P.</t>
  </si>
  <si>
    <t xml:space="preserve">  डी.डी.वी.पी</t>
  </si>
  <si>
    <t>DIMETHOATE</t>
  </si>
  <si>
    <t xml:space="preserve">  डीमेथोएट</t>
  </si>
  <si>
    <t>MALATHION</t>
  </si>
  <si>
    <t xml:space="preserve">  मेलाथियान</t>
  </si>
  <si>
    <t>D.D.T.</t>
  </si>
  <si>
    <t xml:space="preserve">  डी.डी.टी</t>
  </si>
  <si>
    <t>Production</t>
  </si>
  <si>
    <t>Installed Capacity</t>
  </si>
  <si>
    <t>Production उत्‍पादन</t>
  </si>
  <si>
    <t>2013-2014</t>
  </si>
  <si>
    <r>
      <rPr>
        <b/>
        <sz val="11"/>
        <rFont val="Calibri"/>
        <family val="2"/>
        <scheme val="minor"/>
      </rPr>
      <t>मिल उत्‍पाद</t>
    </r>
  </si>
  <si>
    <t>(मीट्रिक टन में/in 'MT )</t>
  </si>
  <si>
    <t>2. The imports made after decanalisation of phosphatic fertilisers *(w.e.f. 17.09.1992) anf Potassic fertilisers (w.e.f. 17.06.1993) include the quantities imported by private parties also.</t>
  </si>
  <si>
    <t>1. Figure relate to imports made for Govt. Account only.</t>
  </si>
  <si>
    <t xml:space="preserve">Note : </t>
  </si>
  <si>
    <t>N  : Nitrogen               P  : Phosphorous        K   : Potash (Potassium)      C&amp;F: Cost &amp; Freight</t>
  </si>
  <si>
    <t>- : Data not available</t>
  </si>
  <si>
    <t xml:space="preserve">* There was no import of Urea in 2000-01, 2002-03 and 2003-04 in Government Account.
</t>
  </si>
  <si>
    <r>
      <t xml:space="preserve">Source : </t>
    </r>
    <r>
      <rPr>
        <sz val="11"/>
        <rFont val="Calibri"/>
        <family val="2"/>
        <scheme val="minor"/>
      </rPr>
      <t xml:space="preserve">Agricultural Statisticsat a Glance 2020, Directorate  of  Economics  and  Statistics, Department of Agriculture and Cooperation
</t>
    </r>
  </si>
  <si>
    <t>स्रोत :  कृषि सांख्यिकी एक झलक  2020, कृषि सहयोग और किसान कल्याण विभाग, कृषि एंव किसान कल्याण मंत्रालय</t>
  </si>
  <si>
    <t xml:space="preserve">कुल
TOTAL
</t>
  </si>
  <si>
    <t xml:space="preserve">के
K
</t>
  </si>
  <si>
    <t xml:space="preserve">पी
P
</t>
  </si>
  <si>
    <t xml:space="preserve">एन
N
</t>
  </si>
  <si>
    <t xml:space="preserve">आयातित यूरिया का सी एंड एफ मूल्य (रु. करोड़)
C&amp;F Value of Imported Urea (Rs. Crore)
</t>
  </si>
  <si>
    <t xml:space="preserve">उत्पादन
Production
</t>
  </si>
  <si>
    <t xml:space="preserve">उपभोग
Consumption
</t>
  </si>
  <si>
    <t>Year
वर्ष</t>
  </si>
  <si>
    <t>(Lakh Tonnes/लाख टन)</t>
  </si>
  <si>
    <t xml:space="preserve">N  : Nitrogen               P  : Phosphorous        K   : Potash (Potassium)  </t>
  </si>
  <si>
    <t>Note: Estimates of Gross Cropped Area are based on the data from respective State Governments.    Blank cell denote data not available/not provided.</t>
  </si>
  <si>
    <t xml:space="preserve">   K     </t>
  </si>
  <si>
    <t xml:space="preserve">      P      </t>
  </si>
  <si>
    <t xml:space="preserve">      N     </t>
  </si>
  <si>
    <t xml:space="preserve">     K     </t>
  </si>
  <si>
    <t xml:space="preserve">    P     </t>
  </si>
  <si>
    <t xml:space="preserve">(किलोग्राम/हेक्टेयर/Kg/Hectare)    </t>
  </si>
  <si>
    <t xml:space="preserve">(Kg/Hectare/किलोग्राम/हेक्टेयर)    </t>
  </si>
  <si>
    <t>विवरण 2.46 (b) : उर्वरकों की राज्‍यवार, पोषक तत्‍ववार खपत</t>
  </si>
  <si>
    <t>Statement 2.46 (b): State-wise, Nutrient-wise consumption of Fertilizers</t>
  </si>
  <si>
    <r>
      <rPr>
        <b/>
        <sz val="8"/>
        <rFont val="Times New Roman"/>
        <family val="1"/>
      </rPr>
      <t>#</t>
    </r>
    <r>
      <rPr>
        <sz val="8"/>
        <rFont val="Times New Roman"/>
        <family val="1"/>
      </rPr>
      <t xml:space="preserve"> w.e.f. 26.01.20 the two UTs have been merged into a single UT namely ''Dadra &amp; Nagar Haveli and Daman &amp; Diu''.</t>
    </r>
  </si>
  <si>
    <t>**Unified data of Jammu &amp; Kashmir and Ladakh till 2015-16.</t>
  </si>
  <si>
    <t xml:space="preserve">P  :Provisional </t>
  </si>
  <si>
    <t>NR : Not reported by States/UTs.</t>
  </si>
  <si>
    <t xml:space="preserve">Source: Directorate of Plant Protection, Quarantine &amp; Storage . </t>
  </si>
  <si>
    <t>स्रोत:  वनस्‍पति संरक्षण, संगरोध एवं संग्रह निदेशालय</t>
  </si>
  <si>
    <t>Sub Total</t>
  </si>
  <si>
    <t>उप कुल</t>
  </si>
  <si>
    <t>NR</t>
  </si>
  <si>
    <r>
      <t>लद्दाख</t>
    </r>
    <r>
      <rPr>
        <sz val="10"/>
        <color rgb="FF202124"/>
        <rFont val="Arial"/>
        <family val="2"/>
      </rPr>
      <t> </t>
    </r>
  </si>
  <si>
    <t>33#</t>
  </si>
  <si>
    <t>32#</t>
  </si>
  <si>
    <t>Organic State</t>
  </si>
  <si>
    <t>North-Eastern</t>
  </si>
  <si>
    <t>8**</t>
  </si>
  <si>
    <t>States/UTs</t>
  </si>
  <si>
    <r>
      <t xml:space="preserve">2018-19 
</t>
    </r>
    <r>
      <rPr>
        <sz val="11"/>
        <rFont val="Calibri"/>
        <family val="2"/>
        <scheme val="minor"/>
      </rPr>
      <t/>
    </r>
  </si>
  <si>
    <r>
      <t>2015-16</t>
    </r>
    <r>
      <rPr>
        <sz val="9"/>
        <rFont val="Times New Roman"/>
        <family val="1"/>
      </rPr>
      <t/>
    </r>
  </si>
  <si>
    <r>
      <t>2014-15</t>
    </r>
    <r>
      <rPr>
        <sz val="9"/>
        <rFont val="Times New Roman"/>
        <family val="1"/>
      </rPr>
      <t/>
    </r>
  </si>
  <si>
    <t>As on 31.03.2021 (Unit: Quantity in MT Tech. Grade)  31.03.2021 तक (यूनिट: एमटी टेक. ग्रेड में मात्रा )</t>
  </si>
  <si>
    <r>
      <rPr>
        <b/>
        <sz val="11"/>
        <color theme="1"/>
        <rFont val="Calibri"/>
        <family val="2"/>
        <scheme val="minor"/>
      </rPr>
      <t>Source :</t>
    </r>
    <r>
      <rPr>
        <sz val="11"/>
        <color theme="1"/>
        <rFont val="Calibri"/>
        <family val="2"/>
        <scheme val="minor"/>
      </rPr>
      <t xml:space="preserve"> Agriculture Statistics at a Glance 2020, Directorate of Economics and Statistics, Department of Agriculture, Cooperation and Farmers Welfare, Ministry of Agriculture and Farmers Welfare</t>
    </r>
  </si>
  <si>
    <t xml:space="preserve">स्रोत :  कृषि सांख्यिकी एक झलक , अर्थशास्त्र और सांख्यिकी निदेशालय,  कृषि सहयोग और किसान कल्याण विभाग, कृषि एंव किसान कल्याण मंत्रालय </t>
  </si>
  <si>
    <t xml:space="preserve">मात्रा
Quantity
</t>
  </si>
  <si>
    <t>[ हजार टन में/ In Thousand Tonnes]</t>
  </si>
  <si>
    <t># w.e.f. 26.01.20 the two UTs have been merged into a single UT namely ''Dadra &amp; Nagar Haveli and Daman &amp; Diu''.</t>
  </si>
  <si>
    <t>* Unified data for Jammu and Kashmir and Ladakh till 2018-19</t>
  </si>
  <si>
    <t>NR: राज्यों / संघ शासित प्रदेशों द्वारा रिपोर्ट नहीं की गई।</t>
  </si>
  <si>
    <t>Source: Directorate of Plant Protection, Quarantine &amp; Storage . NR : Not reported by States/UTs.</t>
  </si>
  <si>
    <t>As on 31.03.2021</t>
  </si>
  <si>
    <t>31#</t>
  </si>
  <si>
    <t xml:space="preserve">2018-19  </t>
  </si>
  <si>
    <r>
      <t>2015-16</t>
    </r>
    <r>
      <rPr>
        <sz val="11"/>
        <rFont val="Times New Roman"/>
        <family val="1"/>
      </rPr>
      <t/>
    </r>
  </si>
  <si>
    <t>In MT Tech Grade / इकाई: एमटी टेक ग्रेड</t>
  </si>
  <si>
    <t># Trade data for FY 2022-23 have been provided till February 2023 and are provisional</t>
  </si>
  <si>
    <t>Source: Directorate General of Commercial Intelligence and Statistics (DGCI&amp;S), Kolkata, Ministry of Commerce, </t>
  </si>
  <si>
    <t>स्रोत:वाणिज्यिक जानकारी एवं सांख्यिकी निदेशालय, कोलकाता, वाणिज्य एवं उद्योग मंत्रालय</t>
  </si>
  <si>
    <t>% Share of Agricultural Import in National Imports</t>
  </si>
  <si>
    <t>राष्ट्रीय आयात में कृषि आयात का प्रतिशत</t>
  </si>
  <si>
    <t>Total National Imports</t>
  </si>
  <si>
    <t>कुल राष्ट्रीय आयात</t>
  </si>
  <si>
    <t>Total Agricultural Imports</t>
  </si>
  <si>
    <t>कुल कृषि आयात</t>
  </si>
  <si>
    <t>Cotton raw including Waste</t>
  </si>
  <si>
    <t>N</t>
  </si>
  <si>
    <t>कपास की कच्ची भस्म अपशिष्ट सहित</t>
  </si>
  <si>
    <t>Jute hessian</t>
  </si>
  <si>
    <t>जूट का हेसियन</t>
  </si>
  <si>
    <t>Jute,raw</t>
  </si>
  <si>
    <t>जूट, कच्चे</t>
  </si>
  <si>
    <t>Ayush and herbal products</t>
  </si>
  <si>
    <t>आयुष और हर्बल उत्पाद</t>
  </si>
  <si>
    <t>Marine products</t>
  </si>
  <si>
    <t>समुद्री उत्पाद</t>
  </si>
  <si>
    <t>Alcoholic beverages</t>
  </si>
  <si>
    <t>मादक पेय</t>
  </si>
  <si>
    <t>Floriculture products</t>
  </si>
  <si>
    <t>फूलों की खेती के उत्पाद</t>
  </si>
  <si>
    <t>Poultry products</t>
  </si>
  <si>
    <t>कुक्कुट उत्पाद</t>
  </si>
  <si>
    <t>Dairy products</t>
  </si>
  <si>
    <t>दुग्ध उत्पाद</t>
  </si>
  <si>
    <t>Processed meat</t>
  </si>
  <si>
    <t>संसाधित मांस</t>
  </si>
  <si>
    <t>Other meat</t>
  </si>
  <si>
    <t>अन्य मांस</t>
  </si>
  <si>
    <t>Sheep/goat meat</t>
  </si>
  <si>
    <t>भेड़ / बकरी का मांस</t>
  </si>
  <si>
    <t>Buffalo meat</t>
  </si>
  <si>
    <t>भैंस का मांस</t>
  </si>
  <si>
    <t>Animal casings</t>
  </si>
  <si>
    <t>जानवरों के आवरण</t>
  </si>
  <si>
    <t>Misc processed items</t>
  </si>
  <si>
    <t>प्रसंस्कृत आइटम</t>
  </si>
  <si>
    <t>Milled products</t>
  </si>
  <si>
    <t>उत्पादों की पूर्ति की</t>
  </si>
  <si>
    <t>Cocoa products</t>
  </si>
  <si>
    <t>कोको उत्पादों</t>
  </si>
  <si>
    <t>Cereal preparations</t>
  </si>
  <si>
    <t>अनाज की तैयारी</t>
  </si>
  <si>
    <t>Processed fruits and juices</t>
  </si>
  <si>
    <t>प्रोसेस्ड फल और जूस</t>
  </si>
  <si>
    <t>Processed vegetables</t>
  </si>
  <si>
    <t>प्रोसेस्ड सब्जियां</t>
  </si>
  <si>
    <t>Fresh vegetables</t>
  </si>
  <si>
    <t>Y</t>
  </si>
  <si>
    <t>ताज़ी सब्जियां</t>
  </si>
  <si>
    <t>Fresh fruits</t>
  </si>
  <si>
    <t>ताजा फल</t>
  </si>
  <si>
    <t>Fruits/vegetable seeds</t>
  </si>
  <si>
    <t>फल / सब्जी के बीज</t>
  </si>
  <si>
    <t>Mollases</t>
  </si>
  <si>
    <t>गुड़</t>
  </si>
  <si>
    <t>Sugar</t>
  </si>
  <si>
    <t>चीनी</t>
  </si>
  <si>
    <t>Shellac</t>
  </si>
  <si>
    <t>चपड़ा</t>
  </si>
  <si>
    <t>Castor oil</t>
  </si>
  <si>
    <t>अरंडी का तेल</t>
  </si>
  <si>
    <t>Guargam meal</t>
  </si>
  <si>
    <t>ग्वारगम का भोजन</t>
  </si>
  <si>
    <t>Oil meals</t>
  </si>
  <si>
    <t>तेल भोजन</t>
  </si>
  <si>
    <t>Vegetable oils</t>
  </si>
  <si>
    <t>वनस्पति तेल</t>
  </si>
  <si>
    <t>Other oil seeds</t>
  </si>
  <si>
    <t>अन्य तेल बीज</t>
  </si>
  <si>
    <t>मूंगफली</t>
  </si>
  <si>
    <t>Niger seeds</t>
  </si>
  <si>
    <t>नाइजर के बीज</t>
  </si>
  <si>
    <t>Sesame seeds</t>
  </si>
  <si>
    <t>तिल के बीज</t>
  </si>
  <si>
    <t>Cashew nut shell liquid</t>
  </si>
  <si>
    <t>काजू खोल तरल</t>
  </si>
  <si>
    <t>Cashew</t>
  </si>
  <si>
    <t>काजू</t>
  </si>
  <si>
    <t>Spices</t>
  </si>
  <si>
    <t>मसाले</t>
  </si>
  <si>
    <t>Tobacco manufactured</t>
  </si>
  <si>
    <t>तंबाकू का निर्माण</t>
  </si>
  <si>
    <t>Tobacco unmanufactured</t>
  </si>
  <si>
    <t>तम्बाकू अप्रमाणित</t>
  </si>
  <si>
    <t>Pulses</t>
  </si>
  <si>
    <t>दलहन</t>
  </si>
  <si>
    <t>Other cereals</t>
  </si>
  <si>
    <t>अन्य अनाज</t>
  </si>
  <si>
    <t>गेहूँ</t>
  </si>
  <si>
    <t>Rice(other than Basmati)</t>
  </si>
  <si>
    <t>चावल (बासमती के अलावा)</t>
  </si>
  <si>
    <t>Rice - Basmati</t>
  </si>
  <si>
    <t>चावल (बास्मति</t>
  </si>
  <si>
    <t>Coffee</t>
  </si>
  <si>
    <t>कॉफ़ी</t>
  </si>
  <si>
    <t>Tea</t>
  </si>
  <si>
    <t>चाय</t>
  </si>
  <si>
    <t xml:space="preserve">मूल्य
Value (in Cr)
</t>
  </si>
  <si>
    <t xml:space="preserve">मात्रा
Quantity ('000000 kg)
</t>
  </si>
  <si>
    <t>Value 
मूल्य</t>
  </si>
  <si>
    <t>Quantity 
मात्रा</t>
  </si>
  <si>
    <t xml:space="preserve">Commodity
</t>
  </si>
  <si>
    <t>2022-223#</t>
  </si>
  <si>
    <t xml:space="preserve">Crop 
फसलें </t>
  </si>
  <si>
    <t>उपयोगी वस्तु</t>
  </si>
  <si>
    <t>% Share of Agricultural Exports in National Exports</t>
  </si>
  <si>
    <t>राष्ट्रीय निर्यात  में कृषि निर्यात  का प्रतिशत</t>
  </si>
  <si>
    <t>Total National Exports</t>
  </si>
  <si>
    <t>Total Agricultural Exports</t>
  </si>
  <si>
    <t xml:space="preserve"> Jute hessian</t>
  </si>
  <si>
    <t>Jute, raw</t>
  </si>
  <si>
    <t>Dairy Products</t>
  </si>
  <si>
    <t>Other Cereals</t>
  </si>
  <si>
    <t>Rice(Other than Basmati)</t>
  </si>
  <si>
    <t>Rice-Basmati</t>
  </si>
  <si>
    <t>Commodity</t>
  </si>
  <si>
    <t xml:space="preserve">स्रोत: राज्य वार और मद वार कृषि और सम्बद्ध क्षेत्रों के उत्पादन मूल्य (2011-12 से 2019-20)
Source: State-wise and Item-wise Value of Output from Agriculture, Forestry and Fishing (2011-12 to 2019-20), NAD,NSO, MoS&amp;PI, New Delhi
</t>
  </si>
  <si>
    <t xml:space="preserve">स्रोत: राज्य वार और मद वार कृषि और सम्बद्ध क्षेत्रों के उत्पादन मूल्य (2011-12 से 2019-20)
Source: Statewise and item-wise estimates of value of output from agriculture and allied sectors  (2011-12 to 2019-20), NAD,NSO, MoS&amp;PI, New Delhi
</t>
  </si>
  <si>
    <t>विवरण 2.01 : खनिज भंडार एवं संसाधन
Statement 2.01 : Mineral Reserves and Resources</t>
  </si>
  <si>
    <t>खनिज/धातु</t>
  </si>
  <si>
    <t xml:space="preserve"> यूनिट/Unit</t>
  </si>
  <si>
    <t>As on 01.04.2005</t>
  </si>
  <si>
    <t>As on 01.04.2010</t>
  </si>
  <si>
    <t>As on 01.04.2015</t>
  </si>
  <si>
    <t>As on 01.04.2020 (P)</t>
  </si>
  <si>
    <t>Minerals/Metal</t>
  </si>
  <si>
    <t xml:space="preserve">रिजर्व़  
Reserve
</t>
  </si>
  <si>
    <t xml:space="preserve">शेष संसाधन
Remaining Resources
</t>
  </si>
  <si>
    <t xml:space="preserve">कुल संसाधन
Total Resources 
</t>
  </si>
  <si>
    <t xml:space="preserve">रिजर्व़  Reserve
</t>
  </si>
  <si>
    <t xml:space="preserve">रिजर्व़ 
Reserve
</t>
  </si>
  <si>
    <t>ऐंडालुसाइट</t>
  </si>
  <si>
    <t>'000 tonnes</t>
  </si>
  <si>
    <r>
      <rPr>
        <b/>
        <sz val="8.5"/>
        <rFont val="Calibri"/>
        <family val="1"/>
      </rPr>
      <t>N.E.</t>
    </r>
  </si>
  <si>
    <t>Andalusite</t>
  </si>
  <si>
    <t>एन्टिमनी</t>
  </si>
  <si>
    <t>Antimony</t>
  </si>
  <si>
    <t xml:space="preserve">    अयस्क</t>
  </si>
  <si>
    <t>tonne</t>
  </si>
  <si>
    <t xml:space="preserve">7,503
</t>
  </si>
  <si>
    <t xml:space="preserve">11,180
</t>
  </si>
  <si>
    <t xml:space="preserve">18,683
</t>
  </si>
  <si>
    <t>Ore</t>
  </si>
  <si>
    <t xml:space="preserve">    धातु</t>
  </si>
  <si>
    <t>Metal</t>
  </si>
  <si>
    <t xml:space="preserve">  ऐपटाइट</t>
  </si>
  <si>
    <t>Apatite</t>
  </si>
  <si>
    <t xml:space="preserve">  ऐस्बेस्टॉस</t>
  </si>
  <si>
    <t>Asbestos</t>
  </si>
  <si>
    <t xml:space="preserve">  सुघट्य मृत्‍तिका</t>
  </si>
  <si>
    <t>Ball clay</t>
  </si>
  <si>
    <t xml:space="preserve">  बाराइटीज़</t>
  </si>
  <si>
    <t>Barytes</t>
  </si>
  <si>
    <t xml:space="preserve">  बॉक्साइट</t>
  </si>
  <si>
    <t>Bauxite</t>
  </si>
  <si>
    <t xml:space="preserve">  बेंटोनाइट</t>
  </si>
  <si>
    <t>Bentonite</t>
  </si>
  <si>
    <t xml:space="preserve">  बोरेक्स</t>
  </si>
  <si>
    <t>Borax</t>
  </si>
  <si>
    <t xml:space="preserve">  कैल्‍साइट</t>
  </si>
  <si>
    <t>Calcite</t>
  </si>
  <si>
    <t xml:space="preserve">  खडि़या</t>
  </si>
  <si>
    <t>Chalk</t>
  </si>
  <si>
    <t xml:space="preserve">  चीनी मिट्टी</t>
  </si>
  <si>
    <t>China clay</t>
  </si>
  <si>
    <t xml:space="preserve">  क्रोमाइट</t>
  </si>
  <si>
    <t>Chromite</t>
  </si>
  <si>
    <t xml:space="preserve">  कोबाल्‍ट (अयस्‍क)</t>
  </si>
  <si>
    <t>million tonnes</t>
  </si>
  <si>
    <t>Cobalt (Ore)</t>
  </si>
  <si>
    <t xml:space="preserve">  तांबा</t>
  </si>
  <si>
    <t>Copper</t>
  </si>
  <si>
    <t xml:space="preserve">    अयस्‍क</t>
  </si>
  <si>
    <t xml:space="preserve">'000 tonnes   </t>
  </si>
  <si>
    <t xml:space="preserve">  कोरंडम</t>
  </si>
  <si>
    <t>Corundum</t>
  </si>
  <si>
    <t xml:space="preserve">  हीरा</t>
  </si>
  <si>
    <t>carats</t>
  </si>
  <si>
    <t>Diamond</t>
  </si>
  <si>
    <t xml:space="preserve">  प्रकीर्णश</t>
  </si>
  <si>
    <t>Diaspore</t>
  </si>
  <si>
    <t xml:space="preserve">  डायटोमाइट</t>
  </si>
  <si>
    <t>Diatomite</t>
  </si>
  <si>
    <t xml:space="preserve">  डोलोमाइट</t>
  </si>
  <si>
    <t>Dolomite</t>
  </si>
  <si>
    <t xml:space="preserve">  डूनाइट</t>
  </si>
  <si>
    <t>Dunite</t>
  </si>
  <si>
    <t xml:space="preserve">  पन्ना</t>
  </si>
  <si>
    <t>kilogram</t>
  </si>
  <si>
    <t>N. E.</t>
  </si>
  <si>
    <t>Emerald</t>
  </si>
  <si>
    <t xml:space="preserve">  फेल्सपार</t>
  </si>
  <si>
    <t>Feldspar</t>
  </si>
  <si>
    <t xml:space="preserve">  अग्निसह मृत्‍तिका</t>
  </si>
  <si>
    <t>Fire clay</t>
  </si>
  <si>
    <t xml:space="preserve">  फ्लोराइट</t>
  </si>
  <si>
    <t>Fluorite</t>
  </si>
  <si>
    <t xml:space="preserve">  फुलर्स अर्थ</t>
  </si>
  <si>
    <t>Fuller’s Earth</t>
  </si>
  <si>
    <t xml:space="preserve">  तामड़ा</t>
  </si>
  <si>
    <t>Garnet</t>
  </si>
  <si>
    <t xml:space="preserve">  सोना</t>
  </si>
  <si>
    <t>Gold</t>
  </si>
  <si>
    <t>अयस्क (प्राथमिक)</t>
  </si>
  <si>
    <t xml:space="preserve">tonne   </t>
  </si>
  <si>
    <t>Ore (Primary)</t>
  </si>
  <si>
    <t>धातु (प्राथमिक)</t>
  </si>
  <si>
    <t>Metal (Primary)</t>
  </si>
  <si>
    <t xml:space="preserve">    अयस्क (प्लेसर)</t>
  </si>
  <si>
    <t>Ore (Placer)</t>
  </si>
  <si>
    <t xml:space="preserve">    धातु (प्लेसर)</t>
  </si>
  <si>
    <t>Metal (Placer)</t>
  </si>
  <si>
    <t xml:space="preserve">  ग्रेनाइट (डायमेंशन स्‍टोन)</t>
  </si>
  <si>
    <t>000 cubic meter</t>
  </si>
  <si>
    <t>Granite (Dimen. stone)</t>
  </si>
  <si>
    <t xml:space="preserve">  ग्रेफाइट</t>
  </si>
  <si>
    <t>Graphite</t>
  </si>
  <si>
    <t xml:space="preserve">  जिप्सम</t>
  </si>
  <si>
    <t>Gypsum</t>
  </si>
  <si>
    <t xml:space="preserve">  लौह अयस्‍क (हेमाटाइट)</t>
  </si>
  <si>
    <t>Iron Ore (Haematite)</t>
  </si>
  <si>
    <t xml:space="preserve">  लौह अयस्‍क (मैग्नेटाइट)</t>
  </si>
  <si>
    <t>Iron Ore (Magnetite)</t>
  </si>
  <si>
    <t xml:space="preserve">  कायनाइट</t>
  </si>
  <si>
    <t>Kyanite</t>
  </si>
  <si>
    <t xml:space="preserve">  लेटराइट</t>
  </si>
  <si>
    <t>Laterite</t>
  </si>
  <si>
    <t xml:space="preserve">  सीसा-ज़स्ता</t>
  </si>
  <si>
    <t>Lead-Zinc</t>
  </si>
  <si>
    <t xml:space="preserve">    सीसा धातु</t>
  </si>
  <si>
    <t>Lead Metal</t>
  </si>
  <si>
    <t xml:space="preserve">    ज़स्ता धातु</t>
  </si>
  <si>
    <t>Zinc Metal</t>
  </si>
  <si>
    <t xml:space="preserve">    सीसा + ज़स्ता धातु</t>
  </si>
  <si>
    <t>Lead + Zinc Metal</t>
  </si>
  <si>
    <t xml:space="preserve">  चूना पत्थर</t>
  </si>
  <si>
    <t>Limestone</t>
  </si>
  <si>
    <t xml:space="preserve">  मैग्नेसाइट</t>
  </si>
  <si>
    <t>Magnesite</t>
  </si>
  <si>
    <t xml:space="preserve">  मैंगनीज अयस्क</t>
  </si>
  <si>
    <t>Manganese Ore</t>
  </si>
  <si>
    <t xml:space="preserve">  मार्बल</t>
  </si>
  <si>
    <t>Marble</t>
  </si>
  <si>
    <t xml:space="preserve">  मार्ल</t>
  </si>
  <si>
    <t>Marl</t>
  </si>
  <si>
    <t xml:space="preserve">  अभ्रक</t>
  </si>
  <si>
    <t>Mica</t>
  </si>
  <si>
    <t xml:space="preserve">  मॉलब्डेनम</t>
  </si>
  <si>
    <t>Molybdenum</t>
  </si>
  <si>
    <r>
      <t xml:space="preserve">        MoS</t>
    </r>
    <r>
      <rPr>
        <vertAlign val="subscript"/>
        <sz val="11"/>
        <rFont val="Calibri"/>
        <family val="2"/>
        <scheme val="minor"/>
      </rPr>
      <t>2</t>
    </r>
    <r>
      <rPr>
        <sz val="11"/>
        <rFont val="Calibri"/>
        <family val="2"/>
        <scheme val="minor"/>
      </rPr>
      <t xml:space="preserve"> युक्‍त</t>
    </r>
  </si>
  <si>
    <r>
      <t>Contained MoS</t>
    </r>
    <r>
      <rPr>
        <vertAlign val="subscript"/>
        <sz val="11"/>
        <rFont val="Calibri"/>
        <family val="2"/>
        <scheme val="minor"/>
      </rPr>
      <t>2</t>
    </r>
  </si>
  <si>
    <t xml:space="preserve">  निकेल अयस्‍क</t>
  </si>
  <si>
    <t>Nickel Ore</t>
  </si>
  <si>
    <t xml:space="preserve">  गैरिक</t>
  </si>
  <si>
    <t>Ochre</t>
  </si>
  <si>
    <t xml:space="preserve">  पर्लाइट</t>
  </si>
  <si>
    <t>Perlite</t>
  </si>
  <si>
    <t xml:space="preserve">  धातुओं का प्‍लेटिनम जीपी (पीजीएम)</t>
  </si>
  <si>
    <t>tonnes of metal contained</t>
  </si>
  <si>
    <t>Platinum gp. of metals (PGM)</t>
  </si>
  <si>
    <t xml:space="preserve">  पोटाश</t>
  </si>
  <si>
    <t>Potash</t>
  </si>
  <si>
    <t xml:space="preserve">  पाइराइट</t>
  </si>
  <si>
    <t>Pyrite</t>
  </si>
  <si>
    <t xml:space="preserve">  पाइरोफाइलाइट</t>
  </si>
  <si>
    <t>Pyrophyllite</t>
  </si>
  <si>
    <t xml:space="preserve">  स्फटिक-सिलिका बालू</t>
  </si>
  <si>
    <t>Quartz-Silica Sand</t>
  </si>
  <si>
    <t xml:space="preserve">  क्वार्ट्ज़ाइट</t>
  </si>
  <si>
    <t>Quartzite</t>
  </si>
  <si>
    <t xml:space="preserve">  दुर्लभ मृदा अवयव (आरईई)</t>
  </si>
  <si>
    <t>Rare Earth Elements (REE)</t>
  </si>
  <si>
    <t xml:space="preserve">  रॉक फास्फेट</t>
  </si>
  <si>
    <t>Rock Phosphate</t>
  </si>
  <si>
    <t xml:space="preserve">  रॉक साल्‍ट</t>
  </si>
  <si>
    <t>Rock Salt</t>
  </si>
  <si>
    <t xml:space="preserve">  रूबी</t>
  </si>
  <si>
    <t>Ruby</t>
  </si>
  <si>
    <t xml:space="preserve">  नीलम</t>
  </si>
  <si>
    <t>Sapphire</t>
  </si>
  <si>
    <t xml:space="preserve">  शेल</t>
  </si>
  <si>
    <t>Shale</t>
  </si>
  <si>
    <t xml:space="preserve">  सिलीमेनाइट</t>
  </si>
  <si>
    <t>Sillimanite</t>
  </si>
  <si>
    <t xml:space="preserve">  चांदी</t>
  </si>
  <si>
    <t>Silver</t>
  </si>
  <si>
    <t xml:space="preserve">  स्लेट</t>
  </si>
  <si>
    <t>Slate</t>
  </si>
  <si>
    <t xml:space="preserve">  सल्फर (प्राकृत)</t>
  </si>
  <si>
    <t>Sulphur (Native)</t>
  </si>
  <si>
    <t xml:space="preserve">  टैल्क-सेलखड़ी</t>
  </si>
  <si>
    <t>Talc-Steatite-Soapstone</t>
  </si>
  <si>
    <t xml:space="preserve">  टिन</t>
  </si>
  <si>
    <t>Tin</t>
  </si>
  <si>
    <t xml:space="preserve">  टाइटेनियम</t>
  </si>
  <si>
    <t>Titanium</t>
  </si>
  <si>
    <t xml:space="preserve">  टंगस्टेन</t>
  </si>
  <si>
    <t>Tungsten</t>
  </si>
  <si>
    <r>
      <t xml:space="preserve">        WO</t>
    </r>
    <r>
      <rPr>
        <vertAlign val="subscript"/>
        <sz val="11"/>
        <rFont val="Calibri"/>
        <family val="2"/>
        <scheme val="minor"/>
      </rPr>
      <t>3</t>
    </r>
    <r>
      <rPr>
        <sz val="11"/>
        <rFont val="Calibri"/>
        <family val="2"/>
        <scheme val="minor"/>
      </rPr>
      <t xml:space="preserve"> युक्‍त</t>
    </r>
  </si>
  <si>
    <r>
      <t>Contained WO</t>
    </r>
    <r>
      <rPr>
        <vertAlign val="subscript"/>
        <sz val="11"/>
        <rFont val="Calibri"/>
        <family val="2"/>
        <scheme val="minor"/>
      </rPr>
      <t>3</t>
    </r>
  </si>
  <si>
    <t xml:space="preserve">  वनैडियम</t>
  </si>
  <si>
    <t>Vanadium</t>
  </si>
  <si>
    <r>
      <t xml:space="preserve">        V</t>
    </r>
    <r>
      <rPr>
        <vertAlign val="subscript"/>
        <sz val="11"/>
        <rFont val="Calibri"/>
        <family val="2"/>
        <scheme val="minor"/>
      </rPr>
      <t>2</t>
    </r>
    <r>
      <rPr>
        <sz val="11"/>
        <rFont val="Calibri"/>
        <family val="2"/>
        <scheme val="minor"/>
      </rPr>
      <t>O</t>
    </r>
    <r>
      <rPr>
        <vertAlign val="subscript"/>
        <sz val="11"/>
        <rFont val="Calibri"/>
        <family val="2"/>
        <scheme val="minor"/>
      </rPr>
      <t>3</t>
    </r>
    <r>
      <rPr>
        <sz val="11"/>
        <rFont val="Calibri"/>
        <family val="2"/>
        <scheme val="minor"/>
      </rPr>
      <t xml:space="preserve"> युक्‍त</t>
    </r>
  </si>
  <si>
    <r>
      <t>Contained V</t>
    </r>
    <r>
      <rPr>
        <vertAlign val="subscript"/>
        <sz val="11"/>
        <rFont val="Calibri"/>
        <family val="2"/>
        <scheme val="minor"/>
      </rPr>
      <t>2</t>
    </r>
    <r>
      <rPr>
        <sz val="11"/>
        <rFont val="Calibri"/>
        <family val="2"/>
        <scheme val="minor"/>
      </rPr>
      <t>O</t>
    </r>
    <r>
      <rPr>
        <vertAlign val="subscript"/>
        <sz val="11"/>
        <rFont val="Calibri"/>
        <family val="2"/>
        <scheme val="minor"/>
      </rPr>
      <t>3</t>
    </r>
  </si>
  <si>
    <t xml:space="preserve">  वर्मीकुलाइट</t>
  </si>
  <si>
    <t>Vermiculite</t>
  </si>
  <si>
    <t xml:space="preserve">  वोलास्‍टोनाइट</t>
  </si>
  <si>
    <t>Wollastonite</t>
  </si>
  <si>
    <t xml:space="preserve">  जिक्रोन</t>
  </si>
  <si>
    <t>Zircon</t>
  </si>
  <si>
    <t>स्रोत: राष्‍ट्रीय खनिज सूची, भारतीय खान ब्‍यूरो, नागपुर/Source: National Mineral Inventory, Indian Bureau of Mines, Nagpur</t>
  </si>
  <si>
    <t>P: Provisional</t>
  </si>
  <si>
    <t>N.E. - Not Estimated</t>
  </si>
  <si>
    <t>#  Data for 2014-15 onwards is not available as these minerals have been declared as minor minerals vide notification dated 10.02.2015.</t>
  </si>
  <si>
    <t>: Blank figure indicate nil</t>
  </si>
  <si>
    <t>*** Obtained as by-product from fertilizer plants and oil refineries.</t>
  </si>
  <si>
    <t>** Includes mine waste and waste obtained while dressing of crude mica at the mine site.</t>
  </si>
  <si>
    <t>-  not available</t>
  </si>
  <si>
    <t>(P): Provisional/ अनंतिम</t>
  </si>
  <si>
    <t>Note : Excluding Atomic and Minor Minerals</t>
  </si>
  <si>
    <t xml:space="preserve">स्रोत : भारतीय खान ब्यूरो /Source  : Indian Bureau of Mines.          </t>
  </si>
  <si>
    <t>Tonne</t>
  </si>
  <si>
    <t>Sulphur***</t>
  </si>
  <si>
    <t xml:space="preserve">  सल्फर***</t>
  </si>
  <si>
    <t xml:space="preserve">Selenite </t>
  </si>
  <si>
    <t xml:space="preserve">  सेलिनाइट </t>
  </si>
  <si>
    <t>Steatite#</t>
  </si>
  <si>
    <t xml:space="preserve">  सेलखड़ी#</t>
  </si>
  <si>
    <t>Slate#</t>
  </si>
  <si>
    <t xml:space="preserve">  स्लेट#</t>
  </si>
  <si>
    <t>Siliceous Earth</t>
  </si>
  <si>
    <t xml:space="preserve">  सिलिका पृथ्वी</t>
  </si>
  <si>
    <t>Shale#</t>
  </si>
  <si>
    <t xml:space="preserve">  शेल#</t>
  </si>
  <si>
    <t>Salt(rock)</t>
  </si>
  <si>
    <t xml:space="preserve">  नमक (रॉक)</t>
  </si>
  <si>
    <t>Sand (Others)#</t>
  </si>
  <si>
    <t xml:space="preserve">  बालू (अन्‍य)#</t>
  </si>
  <si>
    <t>Moulding Sand</t>
  </si>
  <si>
    <t xml:space="preserve">  संचन बालू</t>
  </si>
  <si>
    <t>Silica Sand#</t>
  </si>
  <si>
    <t xml:space="preserve">  सिलिका बालू#</t>
  </si>
  <si>
    <t>Quartzite#</t>
  </si>
  <si>
    <t xml:space="preserve">  क्वार्ट्ज़ाइट#</t>
  </si>
  <si>
    <t>Quartz#</t>
  </si>
  <si>
    <t xml:space="preserve">  स्फटिक#</t>
  </si>
  <si>
    <t>Pyroxenite#</t>
  </si>
  <si>
    <t xml:space="preserve">  पाइरॉक्सिनाइट#</t>
  </si>
  <si>
    <t>Pyrophyllite#</t>
  </si>
  <si>
    <t xml:space="preserve">  पाइरोफाइलाइट#</t>
  </si>
  <si>
    <t>Ochre #</t>
  </si>
  <si>
    <t xml:space="preserve">  गैरिक #</t>
  </si>
  <si>
    <t>Mica (Waste &amp; Scrap)**#</t>
  </si>
  <si>
    <t xml:space="preserve">  अभ्रक (अपशिष्‍ट एवं स्क्रैप)**#</t>
  </si>
  <si>
    <t>Mica (Crude)#</t>
  </si>
  <si>
    <t xml:space="preserve">  अभ्रक (कच्‍चा)#</t>
  </si>
  <si>
    <t>Limeshell</t>
  </si>
  <si>
    <t xml:space="preserve">  चूना कोश</t>
  </si>
  <si>
    <t>Lime Kankar#</t>
  </si>
  <si>
    <t xml:space="preserve">  चूना कंकड़#</t>
  </si>
  <si>
    <t>Laterite#</t>
  </si>
  <si>
    <t xml:space="preserve">  लेटराइट#</t>
  </si>
  <si>
    <t>Kaolin#</t>
  </si>
  <si>
    <t xml:space="preserve">  केओलिन#</t>
  </si>
  <si>
    <t>Iolite</t>
  </si>
  <si>
    <t>Kg.</t>
  </si>
  <si>
    <t xml:space="preserve">  आयोलाइट</t>
  </si>
  <si>
    <t>Gypsum#</t>
  </si>
  <si>
    <t xml:space="preserve">  जिप्सम#</t>
  </si>
  <si>
    <t>Graphite (R.O.M.)</t>
  </si>
  <si>
    <t xml:space="preserve">  ग्रेफाइट (आरओएम)</t>
  </si>
  <si>
    <t>Garnet (Abrasive)</t>
  </si>
  <si>
    <t xml:space="preserve">  तामड़ा (अपघर्षी)</t>
  </si>
  <si>
    <t>Flint Stone</t>
  </si>
  <si>
    <t xml:space="preserve">  चकमक पत्थर</t>
  </si>
  <si>
    <t>Fluorite (Graded)</t>
  </si>
  <si>
    <t xml:space="preserve">  फ्लोराइट (ग्रेडेड)</t>
  </si>
  <si>
    <t>Felsite#</t>
  </si>
  <si>
    <t xml:space="preserve">  फेल्साइट#</t>
  </si>
  <si>
    <t>Fireclay#</t>
  </si>
  <si>
    <t xml:space="preserve">  अग्निसह मृत्‍तिका#</t>
  </si>
  <si>
    <t>Felspar#</t>
  </si>
  <si>
    <t xml:space="preserve">  फेल्सपार#</t>
  </si>
  <si>
    <t>Dunite#</t>
  </si>
  <si>
    <t xml:space="preserve">  डूनाइट#</t>
  </si>
  <si>
    <t>Dolomite#</t>
  </si>
  <si>
    <t xml:space="preserve">  डोलोमाइट#</t>
  </si>
  <si>
    <t>Diaspore#</t>
  </si>
  <si>
    <t xml:space="preserve">  प्रकीर्णश#</t>
  </si>
  <si>
    <t>Carat</t>
  </si>
  <si>
    <t>Clay (Others)#</t>
  </si>
  <si>
    <t xml:space="preserve">  मृत्‍तिका (अन्‍य)#</t>
  </si>
  <si>
    <t>Chalk#</t>
  </si>
  <si>
    <t xml:space="preserve">  खडि़या#</t>
  </si>
  <si>
    <t>Calcite#</t>
  </si>
  <si>
    <t xml:space="preserve">  कैल्‍साइट#</t>
  </si>
  <si>
    <t>Barytes#</t>
  </si>
  <si>
    <t xml:space="preserve">  बाराइटीज़#</t>
  </si>
  <si>
    <t>Ball Clay#</t>
  </si>
  <si>
    <t xml:space="preserve">  सुघट्य मृत्‍तिका#</t>
  </si>
  <si>
    <t>Phosphorite</t>
  </si>
  <si>
    <t xml:space="preserve">  फ़ॉस्फ़ोरोइट</t>
  </si>
  <si>
    <t xml:space="preserve">  गोमेद#</t>
  </si>
  <si>
    <t>Agate#</t>
  </si>
  <si>
    <t>Non-Metallic Minerals</t>
  </si>
  <si>
    <t>गैर धात्विक खनिज</t>
  </si>
  <si>
    <t>Tin Conc.</t>
  </si>
  <si>
    <t xml:space="preserve">  टिन सांद्र</t>
  </si>
  <si>
    <t>Zinc Conc.</t>
  </si>
  <si>
    <t xml:space="preserve">  ज़स्ता सांद्र</t>
  </si>
  <si>
    <t>Lead Conc.</t>
  </si>
  <si>
    <t xml:space="preserve">  सीसा सांद्र</t>
  </si>
  <si>
    <t>Lead &amp; Zinc Ore</t>
  </si>
  <si>
    <t xml:space="preserve">  सीसा एवं ज़स्ता अयस्क</t>
  </si>
  <si>
    <t>Iron Ore (Total)</t>
  </si>
  <si>
    <t xml:space="preserve">  लौह अयस्‍क (कुल)</t>
  </si>
  <si>
    <t>Gold  (Primary)</t>
  </si>
  <si>
    <t xml:space="preserve">  सोना (प्राथमिक)</t>
  </si>
  <si>
    <t>Gold (Total)</t>
  </si>
  <si>
    <t xml:space="preserve">  सोना (कुल)</t>
  </si>
  <si>
    <t>Gold Ore</t>
  </si>
  <si>
    <t xml:space="preserve">  सोना अयस्क</t>
  </si>
  <si>
    <t>Copper Conc.</t>
  </si>
  <si>
    <t xml:space="preserve">  ताम्र सांद्र</t>
  </si>
  <si>
    <t>Copper  Ore</t>
  </si>
  <si>
    <t xml:space="preserve">  ताम्र अयस्क </t>
  </si>
  <si>
    <t>Metallic Minerals</t>
  </si>
  <si>
    <t>धात्विक खनिज</t>
  </si>
  <si>
    <t>Petroleum (Crude)</t>
  </si>
  <si>
    <t xml:space="preserve">  पेट्रोलियम (क्रूड)</t>
  </si>
  <si>
    <t>Natural Gas (Ut.)</t>
  </si>
  <si>
    <t>M.C.M.</t>
  </si>
  <si>
    <t xml:space="preserve">  प्राकृतिक गैस</t>
  </si>
  <si>
    <t xml:space="preserve">  लिग्नाइट</t>
  </si>
  <si>
    <t xml:space="preserve">  कोयला</t>
  </si>
  <si>
    <t>Fuel Minerals</t>
  </si>
  <si>
    <t>ईंधन खनिज</t>
  </si>
  <si>
    <t>Minerals</t>
  </si>
  <si>
    <t xml:space="preserve">2010-11 </t>
  </si>
  <si>
    <t xml:space="preserve">2008-09 </t>
  </si>
  <si>
    <t xml:space="preserve">2007-08 </t>
  </si>
  <si>
    <t xml:space="preserve">यूनिट
Unit 
</t>
  </si>
  <si>
    <t>खनिज</t>
  </si>
  <si>
    <t>विवरण 2.02 : खनिजों का उत्पादन 
Statement 2.02: Production of Minerals</t>
  </si>
  <si>
    <t>**</t>
  </si>
  <si>
    <t>TON</t>
  </si>
  <si>
    <t>Zirconium Ores &amp; Conc.</t>
  </si>
  <si>
    <t>Zinc Ores &amp; Conc.</t>
  </si>
  <si>
    <t>++</t>
  </si>
  <si>
    <t>Witherite</t>
  </si>
  <si>
    <t>Vanadium Ores &amp; Conc.</t>
  </si>
  <si>
    <t>Tungsten Ores &amp; Conc.</t>
  </si>
  <si>
    <t>Tripoli Earth</t>
  </si>
  <si>
    <t>Titanium Ores &amp; Conc.</t>
  </si>
  <si>
    <t>Tin Ores &amp; Conc.</t>
  </si>
  <si>
    <t>Sulphur (exc. Sublimed Precipited &amp; Colloidal)</t>
  </si>
  <si>
    <t>Steatite</t>
  </si>
  <si>
    <t>Silica Sand</t>
  </si>
  <si>
    <t>Sandstone</t>
  </si>
  <si>
    <t>Sand (excl. Metal Bearing)</t>
  </si>
  <si>
    <t>Salt ( Other Than Common Salt)</t>
  </si>
  <si>
    <t>Quartz And Quartzite</t>
  </si>
  <si>
    <t>KG</t>
  </si>
  <si>
    <t>Preciuos Metal Ores &amp; Concentrates</t>
  </si>
  <si>
    <t>Precious &amp; Semi-precious Stones (cut &amp; Uncut):total</t>
  </si>
  <si>
    <t>THT</t>
  </si>
  <si>
    <t>Petroleum (crude)</t>
  </si>
  <si>
    <t>Other Minerals Nes</t>
  </si>
  <si>
    <t>Niobium Or Tantalum Ores &amp; Conc.</t>
  </si>
  <si>
    <t>Nickel Ores &amp; Conc.</t>
  </si>
  <si>
    <t>Natural Gas</t>
  </si>
  <si>
    <t>Molybdenum Ores &amp; Conc.</t>
  </si>
  <si>
    <t>Lead Ores &amp; Conc.</t>
  </si>
  <si>
    <t>Kieselguhr</t>
  </si>
  <si>
    <t>Kaolin</t>
  </si>
  <si>
    <t>Iron Ore</t>
  </si>
  <si>
    <t>Graphite(natural)</t>
  </si>
  <si>
    <t>Granite</t>
  </si>
  <si>
    <t>Garnet(abrasive)</t>
  </si>
  <si>
    <t>Garnet( Cut And Uncut)</t>
  </si>
  <si>
    <t>Fluorspar</t>
  </si>
  <si>
    <t>Flint</t>
  </si>
  <si>
    <t>Fire Clay</t>
  </si>
  <si>
    <t>Felspar (natural)</t>
  </si>
  <si>
    <t>Felspar (cut &amp; Uncut)</t>
  </si>
  <si>
    <t>Emerald (cut &amp; Uncut)</t>
  </si>
  <si>
    <t>Earth Clay</t>
  </si>
  <si>
    <t>Corundum (natural)</t>
  </si>
  <si>
    <t>Copper Ores &amp; Conc.</t>
  </si>
  <si>
    <t>Coke</t>
  </si>
  <si>
    <t>Cobolt Ores &amp; Conc.</t>
  </si>
  <si>
    <t>Coal:lignite</t>
  </si>
  <si>
    <t>Coal,gas Water  Etc.(except Gaseous Hydrocarbons)</t>
  </si>
  <si>
    <t>Coal(ex Ligbite)</t>
  </si>
  <si>
    <t>Clay (others)</t>
  </si>
  <si>
    <t>Building And Monumental Stones Nes</t>
  </si>
  <si>
    <t>Ball Clay</t>
  </si>
  <si>
    <t>Arsenic Sulphide (natural)</t>
  </si>
  <si>
    <t>Antimony Ores &amp; Conc.</t>
  </si>
  <si>
    <t>Alumina</t>
  </si>
  <si>
    <t>Alabaster</t>
  </si>
  <si>
    <t>Abrasive (natural)</t>
  </si>
  <si>
    <t>Super Group Comm Name</t>
  </si>
  <si>
    <t>(Value in Rs.'000)</t>
  </si>
  <si>
    <t>विवरण 2.03 : अयस्कों एवं खनिजों का आयात
Statement 2.03 : Import of Ores and Minerals</t>
  </si>
  <si>
    <t xml:space="preserve">विवरण 2.04 : अयस्कों एवं खनिजों का निर्यात (पुन: निर्यात सहित)
Statement 2.04 : Export of Ores and Minerals (including re-export)  </t>
  </si>
  <si>
    <t xml:space="preserve">विवरण 2.18 : राज्‍यवार संस्‍थापित सोलर फोटोवॉल्टिक प्रणालियां </t>
  </si>
  <si>
    <t xml:space="preserve">Statement 2.18 : State-wise cumulative solar photovoltaic systems installed                     </t>
  </si>
  <si>
    <t>विवरण 2.17 : प्राकृतिक गैस का उद्योग-वार उठाव</t>
  </si>
  <si>
    <t>Statement 2.17: Industry-wise off-take of natural gas</t>
  </si>
  <si>
    <t>विवरण 2.16 : पेट्रोलियम उत्‍पादों का घरेलू उत्‍पादन</t>
  </si>
  <si>
    <t xml:space="preserve">Statement 2.16: Domestic production of petroleum products                 </t>
  </si>
  <si>
    <t>विवरण 2.15 :  स्रोत और सेक्‍टर के अनुसार विद्युत का वार्षिक सकल उत्‍पादन
Statement  2.15:  Annual gross generation of power by source and by sector</t>
  </si>
  <si>
    <t>विवरण 2.14 : भारत में विद्युत उत्‍पादन की संस्‍थापित क्षमता
Statement 2.14: Installed Power generating capacity in India</t>
  </si>
  <si>
    <t xml:space="preserve">  विवरण 2.13 :  विद्युत यूटिलिटीज की संस्थापित क्षमता 
Statement 2.13:  Installed capacity of power utilities   </t>
  </si>
  <si>
    <t>विवरण 2.11 : पेट्रोलियम उद्योग के प्रमुख संकेतक
Statement 2.11 : Key indicators of petroleum industry</t>
  </si>
  <si>
    <t>विवरण 2.10 :  कोयला और लिग्नाइट का राज्यवार उत्पादन
Statement 2.10 :  Statewise Production of Coal and Lignite</t>
  </si>
  <si>
    <t>विवरण 2.09 : प्रकार के अनुसार कच्चा कोयला का राज्यवार उत्पादन
Statement 2.09: Statewise production of raw coal by types</t>
  </si>
  <si>
    <t>विवरण 2.08 : कोयला और लिग्नाइट की कुल प्राथमिक आपूर्ति
 Statement   2.08: Total Primary Supply  of Coal &amp; Lignite</t>
  </si>
  <si>
    <t xml:space="preserve">विवरण 2.07 : लिग्‍नाइट के भूविज्ञानी भंडार की राज्यवार सूची 
 Statement    2.07    : Statewise inventory of geological reserve of Lignite   </t>
  </si>
  <si>
    <t xml:space="preserve">विवरण 2.06:  कोयला के भूविज्ञानी भंडारों की राज्यवार सूची
Statement  2.06 :  Statewise inventory of geological reserves of coal   </t>
  </si>
  <si>
    <t>विवरण 2.05 : प्रकार के अनुसार कोयला के भूविज्ञानी भंडारों की सूचीStatement 
2.05 : Inventory of geological reserves of coal by type</t>
  </si>
  <si>
    <t>0 : indicates that the corresponding sample size was 0</t>
  </si>
  <si>
    <t>'0 : indicates that the corresponding sample size was 0</t>
  </si>
  <si>
    <t>Source : NSS 78th round, Report No. 589: Multiple Indicator Survey in India-2020-21, MoSPI</t>
  </si>
  <si>
    <t>स्रोत: एनएसएस रिपोर्ट नंबर 589:  भारत में भारत में बहु संकेतक सर्वेक्षण-2020-21,  एमओएसएंडपीआई</t>
  </si>
  <si>
    <r>
      <rPr>
        <sz val="7.5"/>
        <rFont val="Times New Roman"/>
        <family val="1"/>
      </rPr>
      <t>Ladakh</t>
    </r>
  </si>
  <si>
    <t>Dadra &amp; Nagar Haveli Daman &amp; Diu</t>
  </si>
  <si>
    <t xml:space="preserve"> दादरा एवं नगर हवेली एवं  दमन एवं दीव</t>
  </si>
  <si>
    <t>Dadra &amp; Nagar Haveli &amp; Daman &amp; Diu</t>
  </si>
  <si>
    <t xml:space="preserve"> दादरा एवं नगर हवेली 
  एवं  दमन एवं दीव</t>
  </si>
  <si>
    <t xml:space="preserve">  अंडमान एवं निकोबार    द्वीप समूह</t>
  </si>
  <si>
    <r>
      <rPr>
        <sz val="7.5"/>
        <rFont val="Times New Roman"/>
        <family val="1"/>
      </rPr>
      <t>-</t>
    </r>
  </si>
  <si>
    <t>Dadra &amp; Nagar Haveli &amp;Daman &amp; Diu</t>
  </si>
  <si>
    <t xml:space="preserve">  दादरा एवं नगर हवेली  एवं  दमन एवं दीव</t>
  </si>
  <si>
    <t>जम्‍मू एवं कश्‍मीर**</t>
  </si>
  <si>
    <t>लिग्नाइट
Lignite</t>
  </si>
  <si>
    <t>+ : Before 2020 combined figure  of coal &amp; Lignite</t>
  </si>
  <si>
    <t xml:space="preserve">लिग्नाइट
Lignite </t>
  </si>
  <si>
    <r>
      <rPr>
        <b/>
        <sz val="10"/>
        <rFont val="Calibri"/>
        <family val="2"/>
        <scheme val="minor"/>
      </rPr>
      <t xml:space="preserve">3. 31 मार्च की स्थिति के अनुसार रिजर्व (प्रतिलब्धि योग्य अधिशेष) </t>
    </r>
  </si>
  <si>
    <t>अपघर्षक (प्राकृतिक)</t>
  </si>
  <si>
    <t>सिलखड़ी</t>
  </si>
  <si>
    <t>एल्यूमिना</t>
  </si>
  <si>
    <t>एंटीमोनी ओरेस एंड कॉन्क।</t>
  </si>
  <si>
    <t>आर्सेनिक सल्फाइड (प्राकृतिक)</t>
  </si>
  <si>
    <t>अदह</t>
  </si>
  <si>
    <t>बॉल क्ले</t>
  </si>
  <si>
    <t>बैराइट्स</t>
  </si>
  <si>
    <t>बॉक्साइट</t>
  </si>
  <si>
    <t>बेंटोनाइट</t>
  </si>
  <si>
    <t>सुहागा</t>
  </si>
  <si>
    <t>भवन और स्मारकीय पत्थर</t>
  </si>
  <si>
    <t>कैल्साइट</t>
  </si>
  <si>
    <t>चाक</t>
  </si>
  <si>
    <t>क्रोमाइट</t>
  </si>
  <si>
    <t>क्ले (अन्य)</t>
  </si>
  <si>
    <t>कोयला (पूर्व लिग्बाइट)</t>
  </si>
  <si>
    <t>कोयला, गैस पानी आदि (गैसीय हाइड्रोकार्बन को छोड़कर)</t>
  </si>
  <si>
    <t>कोयला: लिग्नाइट</t>
  </si>
  <si>
    <t>कोबोल्ट ओरेस एंड कॉन्क।</t>
  </si>
  <si>
    <t>कोक</t>
  </si>
  <si>
    <t>कॉपर ओरेस एंड कॉन्स।</t>
  </si>
  <si>
    <t>कोरंडम (प्राकृतिक)</t>
  </si>
  <si>
    <t>हीरा</t>
  </si>
  <si>
    <t>डायटोमाइट</t>
  </si>
  <si>
    <t>डोलोमाइट</t>
  </si>
  <si>
    <t>पृथ्वी की मिट्टी</t>
  </si>
  <si>
    <t>पन्ना (कट और अनकट)</t>
  </si>
  <si>
    <t>फेल्सपार (कट एंड अनकट)</t>
  </si>
  <si>
    <t>फेल्सपार (प्राकृतिक)</t>
  </si>
  <si>
    <t>आग मिट्टी</t>
  </si>
  <si>
    <t>चकमक पत्थर</t>
  </si>
  <si>
    <t>गार्नेट (कट और अनकट)</t>
  </si>
  <si>
    <t>गार्नेट (घर्षण)</t>
  </si>
  <si>
    <t>ग्रेनाइट</t>
  </si>
  <si>
    <t>ग्रेफाइट (प्राकृतिक)</t>
  </si>
  <si>
    <t>जिप्सम</t>
  </si>
  <si>
    <t>लौह अयस्क</t>
  </si>
  <si>
    <t>क्यानाइट</t>
  </si>
  <si>
    <t>लीड ओरेस एंड कॉन्क।</t>
  </si>
  <si>
    <t>चूना पत्थर</t>
  </si>
  <si>
    <t>मैग्नेसाइट</t>
  </si>
  <si>
    <t>मैंगनीज के घंटे</t>
  </si>
  <si>
    <t>संगमरमर</t>
  </si>
  <si>
    <t>कुछ</t>
  </si>
  <si>
    <t>मोलिब्डेनम ओरेस एंड कॉन्स।</t>
  </si>
  <si>
    <t>प्राकृतिक गैस</t>
  </si>
  <si>
    <t>निकल अयस्क और कॉन्स।</t>
  </si>
  <si>
    <t>नाइओबियम या टैंटलम ओरेस एंड कॉन्स।</t>
  </si>
  <si>
    <t>गेरू</t>
  </si>
  <si>
    <t>अन्य खनिज नेस</t>
  </si>
  <si>
    <t>पेट्रोलियम (कच्चा)</t>
  </si>
  <si>
    <t>कीमती और अर्ध-कीमती पत्थर (कटे हुए और अनकट): कुल</t>
  </si>
  <si>
    <t>धातु अयस्क और सांद्रता</t>
  </si>
  <si>
    <t>क्वार्ट्ज और क्वार्टजाइट</t>
  </si>
  <si>
    <t>रॉक फॉस्फेट</t>
  </si>
  <si>
    <t>नमक (आम नमक के अलावा)</t>
  </si>
  <si>
    <t>रेत (एक्सक्लिकेट मेटल बेयरिंग)</t>
  </si>
  <si>
    <t>बलुआ पत्थर</t>
  </si>
  <si>
    <t>सिलिका रेत</t>
  </si>
  <si>
    <t>सिलिमेनाइट</t>
  </si>
  <si>
    <t>स्लेट</t>
  </si>
  <si>
    <t>सल्फर (उदात्त प्रीसिपिटेड और कोलाइडल)</t>
  </si>
  <si>
    <t>टिन ओरेस एंड कॉन्क।</t>
  </si>
  <si>
    <t>टाइटेनियम ओरेस और कॉन्स।</t>
  </si>
  <si>
    <t>त्रिपोली पृथ्वी</t>
  </si>
  <si>
    <t>टंगस्टन ओरेस एंड कॉन्स।</t>
  </si>
  <si>
    <t>वैनेडियम ओरेस एंड कॉन्स।</t>
  </si>
  <si>
    <t>वर्मीक्यूलाइट</t>
  </si>
  <si>
    <t>विदराइट</t>
  </si>
  <si>
    <t>जिंक ओरेस एंड कॉन्स।</t>
  </si>
  <si>
    <t>ज़िरकोनियम ओरेस एंड कॉन्स।</t>
  </si>
  <si>
    <t>सुपर समूह कॉम का नाम</t>
  </si>
  <si>
    <t>स्रोत/ वाणिज्‍यिक जानकारी एवं सांख्‍यिकी महानिदेशालय,कोलकाता</t>
  </si>
  <si>
    <t xml:space="preserve">Source: Directorate General of Commercial Intelligence and Statistics, Kolkata; data as on 11.11.2022              ** : Not Additive                                            (P): Provisional                  
     -- : Nil ; ++ : Negligible                             
</t>
  </si>
  <si>
    <t>इकाई  Unit</t>
  </si>
  <si>
    <t>मात्रा     Quantity</t>
  </si>
  <si>
    <t>मूल्य    Value</t>
  </si>
  <si>
    <t>मात्रा    Quantity</t>
  </si>
  <si>
    <t>मूल्य   Value</t>
  </si>
  <si>
    <t>मूल्य     Value</t>
  </si>
  <si>
    <t xml:space="preserve">Source: Directorate General of Commercial Intelligence and Statistics, Kolkata; data as on 11.11.2022              ** : Not Additive                                            (P): Provisional                
                                                                                                              </t>
  </si>
  <si>
    <t xml:space="preserve"> -- : Nil ; ++ : Negligible          </t>
  </si>
  <si>
    <t xml:space="preserve">क्षेत्रफल जिसमें एक से अधिक बार बुआई होती है (कॉलम 15-14)
Area Sown more than once (Col. 15-14) </t>
  </si>
  <si>
    <t xml:space="preserve"> कुल 
(कॉलम 11+12)Total
 (col. 11+ 12)</t>
  </si>
  <si>
    <t xml:space="preserve">कुल (कॉलम 4 + कॉलम 5)
Total (col. 4+ col. 5) </t>
  </si>
  <si>
    <t xml:space="preserve">कुल (कॉलम 7+8+9)
Total (col. 7+8+9) </t>
  </si>
  <si>
    <t xml:space="preserve">शस्य घनत्व (कॉलम 15/कॉलम 14*100)
Cropping Intensity (Col.15/Col.14*100) </t>
  </si>
  <si>
    <r>
      <rPr>
        <sz val="9.5"/>
        <rFont val="Cambria"/>
        <family val="1"/>
      </rPr>
      <t>Andhra Pradesh</t>
    </r>
  </si>
  <si>
    <r>
      <rPr>
        <sz val="9.5"/>
        <rFont val="Cambria"/>
        <family val="1"/>
      </rPr>
      <t>Telangana</t>
    </r>
  </si>
  <si>
    <r>
      <rPr>
        <sz val="9.5"/>
        <rFont val="Cambria"/>
        <family val="1"/>
      </rPr>
      <t>Karnataka</t>
    </r>
  </si>
  <si>
    <r>
      <rPr>
        <sz val="9.5"/>
        <rFont val="Cambria"/>
        <family val="1"/>
      </rPr>
      <t>Kerala</t>
    </r>
  </si>
  <si>
    <r>
      <rPr>
        <sz val="9.5"/>
        <rFont val="Cambria"/>
        <family val="1"/>
      </rPr>
      <t>Tamil Nadu</t>
    </r>
  </si>
  <si>
    <t>पुदुचेरी</t>
  </si>
  <si>
    <t>अंडमान और निकोबार द्वीपसमूह</t>
  </si>
  <si>
    <r>
      <rPr>
        <sz val="9.5"/>
        <rFont val="Cambria"/>
        <family val="1"/>
      </rPr>
      <t>A&amp;N Islands</t>
    </r>
  </si>
  <si>
    <t xml:space="preserve">  Lakshadweep</t>
  </si>
  <si>
    <t>औसत (दक्षिण क्षेत्र)</t>
  </si>
  <si>
    <r>
      <rPr>
        <b/>
        <sz val="9.5"/>
        <rFont val="Cambria"/>
        <family val="1"/>
      </rPr>
      <t>Average (South Zone)</t>
    </r>
  </si>
  <si>
    <r>
      <rPr>
        <sz val="9.5"/>
        <rFont val="Cambria"/>
        <family val="1"/>
      </rPr>
      <t>Gujarat</t>
    </r>
  </si>
  <si>
    <r>
      <rPr>
        <sz val="9.5"/>
        <rFont val="Cambria"/>
        <family val="1"/>
      </rPr>
      <t>Madhya Pradesh</t>
    </r>
  </si>
  <si>
    <t>छत्तीसगढ</t>
  </si>
  <si>
    <r>
      <rPr>
        <sz val="9.5"/>
        <rFont val="Cambria"/>
        <family val="1"/>
      </rPr>
      <t>Chhattisgarh</t>
    </r>
  </si>
  <si>
    <r>
      <rPr>
        <sz val="9.5"/>
        <rFont val="Cambria"/>
        <family val="1"/>
      </rPr>
      <t>Maharashtra</t>
    </r>
  </si>
  <si>
    <t>दमन और दीव</t>
  </si>
  <si>
    <t>डी एंड एन हवेली</t>
  </si>
  <si>
    <r>
      <rPr>
        <sz val="9.5"/>
        <rFont val="Cambria"/>
        <family val="1"/>
      </rPr>
      <t>D&amp;N Haveli</t>
    </r>
  </si>
  <si>
    <t>औसत (पश्चिम क्षेत्र</t>
  </si>
  <si>
    <r>
      <rPr>
        <b/>
        <sz val="9.5"/>
        <rFont val="Cambria"/>
        <family val="1"/>
      </rPr>
      <t>Average (West Zone</t>
    </r>
    <r>
      <rPr>
        <sz val="9.5"/>
        <rFont val="Times New Roman"/>
        <family val="1"/>
      </rPr>
      <t xml:space="preserve">           </t>
    </r>
  </si>
  <si>
    <t>हरयाणा</t>
  </si>
  <si>
    <t>उत्तर प्रदेश1</t>
  </si>
  <si>
    <t>Uttar Pradesh1</t>
  </si>
  <si>
    <t xml:space="preserve">Uttarakhand              </t>
  </si>
  <si>
    <t xml:space="preserve"> हिमाचल प्रदेश</t>
  </si>
  <si>
    <t xml:space="preserve"> Himachal Pradesh          </t>
  </si>
  <si>
    <t>जम्मू और कश्मीर</t>
  </si>
  <si>
    <t xml:space="preserve">  Delhi                             </t>
  </si>
  <si>
    <t>औसत (उत्तर क्षेत्र)</t>
  </si>
  <si>
    <r>
      <rPr>
        <b/>
        <sz val="9.5"/>
        <rFont val="Cambria"/>
        <family val="1"/>
      </rPr>
      <t>East Zone</t>
    </r>
  </si>
  <si>
    <t xml:space="preserve">  Jharkhand                       </t>
  </si>
  <si>
    <t xml:space="preserve">West Bengal                   </t>
  </si>
  <si>
    <t>औसत (पूर्वी क्षेत्र)</t>
  </si>
  <si>
    <r>
      <rPr>
        <b/>
        <sz val="9.5"/>
        <rFont val="Cambria"/>
        <family val="1"/>
      </rPr>
      <t>Average (East Zone)</t>
    </r>
    <r>
      <rPr>
        <sz val="9.5"/>
        <rFont val="Times New Roman"/>
        <family val="1"/>
      </rPr>
      <t xml:space="preserve">            </t>
    </r>
  </si>
  <si>
    <t>उत्तर पूर्व क्षेत्र</t>
  </si>
  <si>
    <r>
      <rPr>
        <b/>
        <sz val="9.5"/>
        <rFont val="Cambria"/>
        <family val="1"/>
      </rPr>
      <t>North East Zone</t>
    </r>
  </si>
  <si>
    <t xml:space="preserve">Assam                             </t>
  </si>
  <si>
    <t xml:space="preserve">  Tripura                            </t>
  </si>
  <si>
    <r>
      <rPr>
        <sz val="9.5"/>
        <rFont val="Cambria"/>
        <family val="1"/>
      </rPr>
      <t>Manipur</t>
    </r>
  </si>
  <si>
    <r>
      <rPr>
        <sz val="9.5"/>
        <rFont val="Cambria"/>
        <family val="1"/>
      </rPr>
      <t>Meghalaya</t>
    </r>
  </si>
  <si>
    <t>नगालैंड</t>
  </si>
  <si>
    <r>
      <rPr>
        <sz val="9.5"/>
        <rFont val="Cambria"/>
        <family val="1"/>
      </rPr>
      <t>Nagaland</t>
    </r>
  </si>
  <si>
    <t>"अरुणाचल प्रदेश"</t>
  </si>
  <si>
    <r>
      <rPr>
        <sz val="9.5"/>
        <rFont val="Cambria"/>
        <family val="1"/>
      </rPr>
      <t xml:space="preserve">Arunachal
</t>
    </r>
    <r>
      <rPr>
        <sz val="9.5"/>
        <rFont val="Cambria"/>
        <family val="1"/>
      </rPr>
      <t>Pradesh</t>
    </r>
  </si>
  <si>
    <r>
      <rPr>
        <sz val="9.5"/>
        <rFont val="Cambria"/>
        <family val="1"/>
      </rPr>
      <t>Mizoram</t>
    </r>
  </si>
  <si>
    <r>
      <rPr>
        <sz val="9.5"/>
        <rFont val="Cambria"/>
        <family val="1"/>
      </rPr>
      <t>Sikkim</t>
    </r>
  </si>
  <si>
    <t>औसत (एनईजेड)</t>
  </si>
  <si>
    <r>
      <rPr>
        <b/>
        <sz val="9.5"/>
        <rFont val="Cambria"/>
        <family val="1"/>
      </rPr>
      <t>Average (NEZ)</t>
    </r>
  </si>
  <si>
    <t>अखिल भारतीय (औसत)</t>
  </si>
  <si>
    <r>
      <rPr>
        <b/>
        <sz val="9.5"/>
        <rFont val="Cambria"/>
        <family val="1"/>
      </rPr>
      <t>All India (Average)</t>
    </r>
  </si>
  <si>
    <r>
      <rPr>
        <b/>
        <sz val="9.5"/>
        <rFont val="Cambria"/>
        <family val="1"/>
      </rPr>
      <t>Average (North Zone)</t>
    </r>
    <r>
      <rPr>
        <b/>
        <sz val="9.5"/>
        <rFont val="Times New Roman"/>
        <family val="1"/>
      </rPr>
      <t xml:space="preserve">       </t>
    </r>
  </si>
  <si>
    <t>स्रोत :  कृषि सांख्यिकी एक झलक  2021,कृषि सहयोग और किसान कल्याण विभाग, कृषि एंव किसान कल्याण मंत्रालय</t>
  </si>
  <si>
    <t>Source: Agricultural Statisatics at Glance 2021,  Department of Agriculture  Cooperation &amp; Farmers Welfare, Ministry of Agriculture &amp; Farmers Welfare</t>
  </si>
  <si>
    <t>विवरण 2.12 :  ऊर्जा की राज्यवार स्थिति
Statement 2.12:  State/UTwise Power Supply Position</t>
  </si>
  <si>
    <t xml:space="preserve"> विवरण 2.19:  भारत में नवीकरणीय विद्युत का स्रोतवार एवं राज्‍यवार अनुमानित विभव</t>
  </si>
  <si>
    <t xml:space="preserve">Statement 2.19:  Source-wise and State-wise estimated potential of Renewable Power in India           </t>
  </si>
  <si>
    <t xml:space="preserve">      विवरण 2.20 (क):   परिवारों का खाना पकाने के लिए  प्रयुक्त ईंधन के प्रकार का वितरण</t>
  </si>
  <si>
    <t xml:space="preserve">Statement 2.20 (a): Distribution of households  by type of fuel used for cooking
</t>
  </si>
  <si>
    <t xml:space="preserve"> विवरण 2.20 (ख): परिवारों का खाना पकाने के लिए  प्रयुक्त ईंधन के प्रकार का वितरण
Statement 2.20 (b): Distribution of households  by type of fuel used for cooking</t>
  </si>
  <si>
    <t xml:space="preserve">विवरण 2.20 (ग ):  परिवारों का खाना पकाने के लिए  प्रयुक्त ईंधन के प्रकार का वितरण
</t>
  </si>
  <si>
    <t>Statement 2.20 (c ):Distribution of households  by type of fuel used for cooking</t>
  </si>
  <si>
    <t xml:space="preserve">विवरण 2.21 : राज्‍यवार भूमि प्रयोग वर्गीकरण </t>
  </si>
  <si>
    <t>Statement 2.21: State-wise Land Use Classification</t>
  </si>
  <si>
    <t>विवरण 2.22 : 1950-51 से भारत में कृषि भूमि प्रयोग की चुनिंदा श्रेणियां</t>
  </si>
  <si>
    <t>Statement 2.22: Selected categories of agricultural land use in India from 1950-51</t>
  </si>
  <si>
    <t xml:space="preserve">विवरण 2.23 : विभिन्‍न स्रोतों से निवल सिंचित क्षेत्रफल और सकल सिंचित क्षेत्रफल – अखिल भारत
</t>
  </si>
  <si>
    <t>Statement 2.23: Net area irrigated from different sources and gross irrigated area  - All India</t>
  </si>
  <si>
    <t>विवरण 2.24 : जैविक खेती के अधीन राज्यवार क्षेत्रफल (प्रत्यायित प्रमाणन संस्थाओ के तहत पंजीकृत)</t>
  </si>
  <si>
    <t>Statement 2.24   : State-wise  area under organic farming  (Registered under accredited certification bodies)</t>
  </si>
  <si>
    <t xml:space="preserve">विवरण 2.25:  वन संरक्षण अधिनियम के अधीन वन से भिन्‍न प्रयोग के लिए वन भूमि का विपथन </t>
  </si>
  <si>
    <t xml:space="preserve">Statement 2.25:  Diversion of forest land for non-forest use under Forest Conservation Act </t>
  </si>
  <si>
    <t xml:space="preserve"> विवरण 2.26  (क):आउटपुट- वानिकी का राज्यवार मूल्य  (वर्तमान कीमतों पर)</t>
  </si>
  <si>
    <t>Statement 2.26 (a) : State-wise value of Output - Forestry (At Current Prices)</t>
  </si>
  <si>
    <t>विवरण 2.26 (ख) : उत्पादन का राज्यवार मूल्य - औद्योगिक लकड़ी (वर्तमान कीमतों पर)</t>
  </si>
  <si>
    <t>Statement 2.26 (b) :  State-wise value of Output - Industrial Wood (At Current Prices)</t>
  </si>
  <si>
    <t>Statement  2.26  (c):  State-wise value of Output - Fuelwood(At Current Pric</t>
  </si>
  <si>
    <t>विवरण 2.26 (ग ) : उत्पादन का राज्यवार मूल्य - ईंधन (वर्तमान कीमतों पर)es)</t>
  </si>
  <si>
    <t xml:space="preserve">विवरण 2.26 (घ) : उत्पादन का राज्य-वार मूल्य - गैर-इमारती लकड़ी वन उत्पाद (मौजूदा कीमतों पर)
</t>
  </si>
  <si>
    <t>Statement 2.26 (d) :  State-wise value of Output - Non-Timber Forest Products (At Current Prices)</t>
  </si>
  <si>
    <t xml:space="preserve">Statement 2.27 (a) : Area under major crops </t>
  </si>
  <si>
    <t xml:space="preserve">विवरण 2.27  (क) : प्रमुख फसलों के तहत क्षेत्रफल </t>
  </si>
  <si>
    <t>विवरण 2.27 (ख) : प्रमुख फसलों का उत्पादन
Statement 2.27 ( b) : Production of major crops</t>
  </si>
  <si>
    <t>विवरण 2.28 : कृषि आदानों का उपयोग</t>
  </si>
  <si>
    <t>Statement 2.28: Use of agricultural inputs</t>
  </si>
  <si>
    <t xml:space="preserve">विवरण 2.29 : जैविक खादों का राज्यवार उत्पादन </t>
  </si>
  <si>
    <t xml:space="preserve">     Statement 2.29: State wise production of organic manures                       </t>
  </si>
  <si>
    <t>विवरण 2.30 : जैव उर्वरकों का राज्‍यवार उत्‍पादन</t>
  </si>
  <si>
    <t xml:space="preserve"> Statement 2.30: State-wise Production of Biofertilizers</t>
  </si>
  <si>
    <t xml:space="preserve">विवरण 2.31 :  कीटनाशकों (कवकनाशक, तृणनाशक शैवालनाशक, कृतंकनाशक, धूमक) का उत्‍पादन एवं उत्‍पादन-क्षमता           </t>
  </si>
  <si>
    <t xml:space="preserve"> Statement 2.31:  Production Capacity and production of  various pesticides (Fungicides, Herbicides, Weedicides, Rodenticides, Fumigants)</t>
  </si>
  <si>
    <t>विवरण 2.32 : कीटनाशकों का उत्‍पादन एवं क्षमता</t>
  </si>
  <si>
    <t>Statement 2.32 : Capacity and production of insecticides</t>
  </si>
  <si>
    <t>Statement 2.33 (a): Consumption, Production and Import of Fertilisers</t>
  </si>
  <si>
    <t>विवरण 2.33(क): उर्वरकों का उपभोग, उत्पादन और आयात</t>
  </si>
  <si>
    <t>विवरण 2.33(ख) : उर्वरकों की राज्‍यवार, पोषक तत्‍ववार खपत</t>
  </si>
  <si>
    <t>Statement 2.33(b): State-wise, Nutrient-wise consumption of Fertilizers</t>
  </si>
  <si>
    <t xml:space="preserve">विवरण 2.34 (क):  रासायनिक कीटनाशकों का उपभोग
Statement 2.34 (a): Consumption of Chemical Pesticides in India
</t>
  </si>
  <si>
    <t>विवरण 2.34 (ख): कीटनाशकों की उपभोग (तकनीकी ग्रेड सामग्री)</t>
  </si>
  <si>
    <t>Statement 2.34 (b): Consumption of Pesticides (Technical Grade Material)</t>
  </si>
  <si>
    <t xml:space="preserve">Statement 2.34 (c ): Consumption of bio pesticides formulation in various States / UTs
</t>
  </si>
  <si>
    <t>विवरण  2.34 (ग) : विभिन्न राज्यों में जैव कीटनाशकों के निर्माण की सहमति</t>
  </si>
  <si>
    <t xml:space="preserve">विवरण 2.35 (क):  कृषि उत्पाद फसलों का आयात </t>
  </si>
  <si>
    <t>Statement 2.35 (a) : Import of Agricultural Products</t>
  </si>
  <si>
    <t xml:space="preserve"> विवरण 2.35 (ख) :कृषि उत्पाद फसलों का निर्यात  </t>
  </si>
  <si>
    <t>Statement 2.35 (b) : Export of Agricultural Products</t>
  </si>
  <si>
    <t xml:space="preserve">विवरण 2.36 : भारत में पशुधन आबादी
</t>
  </si>
  <si>
    <t>Statement 2.36 : Livestock population in India</t>
  </si>
  <si>
    <t xml:space="preserve">विवरण 2.37 : वध किए गए पशुओं की संख्‍या तथा मांस उत्‍पादन
</t>
  </si>
  <si>
    <t>Statement 2.37 : Number of animals slaughtered and Quantity of Meat Production</t>
  </si>
  <si>
    <t xml:space="preserve">विवरण 2.38 (क) :  पशुधन और समुद्री उत्पादों का आयात  
</t>
  </si>
  <si>
    <t>Statement  2.38 (a) : Import of Livestock &amp; Marine Products</t>
  </si>
  <si>
    <t>विवरण 2.38 (ख) :  पशुधन और समुद्री उत्पादों का निर्यात</t>
  </si>
  <si>
    <t>Statement  2.38  (b) : Export of Livestock &amp; Marine Products</t>
  </si>
  <si>
    <t>विवरण 2.39(क) : वर्षवार मछली उत्पादन - भारत</t>
  </si>
  <si>
    <t>Statement 2.39 (a): Year Wise Fish Production-India</t>
  </si>
  <si>
    <t>विवरण 2.39 (ख) : राज्यवार मछली उत्पादन</t>
  </si>
  <si>
    <t>Statement 2.39 (b): State-wise Fish Production</t>
  </si>
  <si>
    <t xml:space="preserve">विवरण 2.40 (क) : भारत में पानी की उपलब्‍धता
</t>
  </si>
  <si>
    <t>Statement  2.40 (a) : Water availability in India</t>
  </si>
  <si>
    <t xml:space="preserve">विवरण 2.40 (ख) : जल संसाधन - घाटीवार
</t>
  </si>
  <si>
    <t>Statement 2.40 (b): Water resources -Basinwise</t>
  </si>
  <si>
    <t>विवरण 2.40 ( ग ) : भारत में पानी की प्रक्षेपित मांग</t>
  </si>
  <si>
    <t>Statement 2.40 (c): Projected Water Demand  in India</t>
  </si>
  <si>
    <t xml:space="preserve">विवरण 2.41: धारा में जल प्रवाह </t>
  </si>
  <si>
    <t xml:space="preserve">Statement  2.41: Water flow in stream </t>
  </si>
  <si>
    <t xml:space="preserve">विवरण 2.42  (क) बेसिन के अनुसार भौमजल संसाधन, भारत  2020
</t>
  </si>
  <si>
    <t xml:space="preserve">Statement 2.42 (a): Basin- Wise dynamic ground water resources, India 2020 </t>
  </si>
  <si>
    <t>विवरण 2.42 (ख) :  राज्‍यवार भौमजल संसाधन, भारत 2020</t>
  </si>
  <si>
    <t>Statement 2.42 (b):  State- Wise ground water resources, India 2020</t>
  </si>
  <si>
    <t>विवरण 2.43 (क): देश के जलाशयों के बेसिन-वार भंडारण की स्थिति</t>
  </si>
  <si>
    <t>Statement 2.43 (a) : Basin-wise Storage Status of Reservoirs of the Country</t>
  </si>
  <si>
    <t>Statement 2.43 (b): Storage Status of Reservoirs of the Country</t>
  </si>
  <si>
    <t>विवरण 2.43 (ख): देश के जलाशयों की भंडारण स्थिति</t>
  </si>
  <si>
    <t>विवरण 2.44: नदी बेसिन-वार जलग्रहण क्षेत्र, औसत जल संसाधन क्षमता और उपयोग योग्य जल संसाधन क्षमता</t>
  </si>
  <si>
    <t>Statement 2.44 : River basin-wise catchment area, average water resources potential and  utilisable water resources potential</t>
  </si>
  <si>
    <t>विवरण 2.45 : पड़ोसी देशों के साथ जल साझा करने वाली संधियाँ</t>
  </si>
  <si>
    <t>Statement 2.45 :  Water Sharing Treaties with Neighbouring Countries</t>
  </si>
  <si>
    <t>कुल कृष्ट +वन
Total cultivated + Wild 
(2020-21)</t>
  </si>
  <si>
    <t>कुल कृष्ट +वन
Total cultivated + Wild 
(2021-22)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</si>
</sst>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1" formatCode="_ * #,##0_ ;_ * \-#,##0_ ;_ * &quot;-&quot;_ ;_ @_ "/>
    <numFmt numFmtId="44" formatCode="_ &quot;₹&quot;\ * #,##0.00_ ;_ &quot;₹&quot;\ * \-#,##0.00_ ;_ &quot;₹&quot;\ * &quot;-&quot;??_ ;_ @_ "/>
    <numFmt numFmtId="43" formatCode="_ * #,##0.00_ ;_ * \-#,##0.00_ ;_ * &quot;-&quot;??_ ;_ @_ "/>
    <numFmt numFmtId="164" formatCode="_(* #,##0.00_);_(* \(#,##0.00\);_(* &quot;-&quot;??_);_(@_)"/>
    <numFmt numFmtId="165" formatCode="0.000"/>
    <numFmt numFmtId="166" formatCode="0.0"/>
    <numFmt numFmtId="167" formatCode="0.0000"/>
    <numFmt numFmtId="168" formatCode="0.00000"/>
    <numFmt numFmtId="169" formatCode="#,##0.0"/>
    <numFmt numFmtId="170" formatCode="_ * #,##0_ ;_ * \-#,##0_ ;_ * &quot;-&quot;??_ ;_ @_ "/>
    <numFmt numFmtId="171" formatCode="_ * #,##0_ ;_ * \-#,##0_ ;_ * &quot;-&quot;?_ ;_ @_ "/>
    <numFmt numFmtId="172" formatCode="_ * #,##0.0_ ;_ * \-#,##0.0_ ;_ * &quot;-&quot;?_ ;_ @_ "/>
    <numFmt numFmtId="173" formatCode="_ * #,##0.0_ ;_ * \-#,##0.0_ ;_ * &quot;-&quot;_ ;_ @_ "/>
  </numFmts>
  <fonts count="105">
    <font>
      <sz val="11"/>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sz val="10"/>
      <name val="Arial"/>
      <family val="2"/>
    </font>
    <font>
      <b/>
      <sz val="11"/>
      <name val="Calibri"/>
      <family val="2"/>
      <scheme val="minor"/>
    </font>
    <font>
      <sz val="10"/>
      <color theme="1"/>
      <name val="Calibri"/>
      <family val="2"/>
      <scheme val="minor"/>
    </font>
    <font>
      <sz val="10"/>
      <name val="Calibri"/>
      <family val="2"/>
      <scheme val="minor"/>
    </font>
    <font>
      <b/>
      <sz val="12"/>
      <name val="Calibri"/>
      <family val="2"/>
      <scheme val="minor"/>
    </font>
    <font>
      <sz val="12"/>
      <color theme="1"/>
      <name val="Calibri"/>
      <family val="2"/>
      <scheme val="minor"/>
    </font>
    <font>
      <sz val="13"/>
      <color theme="1"/>
      <name val="Calibri"/>
      <family val="2"/>
      <scheme val="minor"/>
    </font>
    <font>
      <sz val="11"/>
      <color theme="1"/>
      <name val="Calibri"/>
      <family val="2"/>
    </font>
    <font>
      <sz val="11"/>
      <name val="Calibri"/>
      <family val="2"/>
    </font>
    <font>
      <b/>
      <sz val="12"/>
      <color theme="1"/>
      <name val="Calibri"/>
      <family val="2"/>
      <scheme val="minor"/>
    </font>
    <font>
      <b/>
      <sz val="11"/>
      <color rgb="FFFF0000"/>
      <name val="Calibri"/>
      <family val="2"/>
      <scheme val="minor"/>
    </font>
    <font>
      <u/>
      <sz val="10"/>
      <color theme="10"/>
      <name val="Arial"/>
      <family val="2"/>
    </font>
    <font>
      <sz val="10"/>
      <name val="MS Sans Serif"/>
      <family val="2"/>
    </font>
    <font>
      <sz val="10"/>
      <color rgb="FF000000"/>
      <name val="Arial"/>
      <family val="2"/>
    </font>
    <font>
      <sz val="12"/>
      <color theme="1"/>
      <name val="Cambria"/>
      <family val="2"/>
    </font>
    <font>
      <b/>
      <sz val="11"/>
      <color theme="1"/>
      <name val="Cambria"/>
      <family val="1"/>
    </font>
    <font>
      <sz val="11"/>
      <color theme="1"/>
      <name val="Cambria"/>
      <family val="1"/>
    </font>
    <font>
      <u/>
      <sz val="11"/>
      <color theme="10"/>
      <name val="Calibri"/>
      <family val="2"/>
    </font>
    <font>
      <b/>
      <u/>
      <sz val="11"/>
      <color theme="1"/>
      <name val="Cambria"/>
      <family val="1"/>
    </font>
    <font>
      <b/>
      <sz val="7"/>
      <color theme="1"/>
      <name val="Times New Roman"/>
      <family val="1"/>
    </font>
    <font>
      <sz val="7"/>
      <color theme="1"/>
      <name val="Times New Roman"/>
      <family val="1"/>
    </font>
    <font>
      <sz val="12"/>
      <name val="Calibri"/>
      <family val="2"/>
      <scheme val="minor"/>
    </font>
    <font>
      <i/>
      <sz val="11"/>
      <name val="Calibri"/>
      <family val="2"/>
      <scheme val="minor"/>
    </font>
    <font>
      <b/>
      <sz val="10"/>
      <name val="Calibri"/>
      <family val="2"/>
      <scheme val="minor"/>
    </font>
    <font>
      <sz val="11"/>
      <color theme="0"/>
      <name val="Calibri"/>
      <family val="2"/>
      <scheme val="minor"/>
    </font>
    <font>
      <b/>
      <sz val="13"/>
      <name val="Calibri"/>
      <family val="2"/>
      <scheme val="minor"/>
    </font>
    <font>
      <sz val="13"/>
      <name val="Calibri"/>
      <family val="2"/>
      <scheme val="minor"/>
    </font>
    <font>
      <sz val="11"/>
      <name val="Cambria"/>
      <family val="1"/>
    </font>
    <font>
      <b/>
      <sz val="11"/>
      <name val="Cambria"/>
      <family val="1"/>
    </font>
    <font>
      <u/>
      <sz val="11"/>
      <name val="Calibri"/>
      <family val="2"/>
    </font>
    <font>
      <b/>
      <sz val="12"/>
      <name val="Book Antiqua"/>
      <family val="1"/>
    </font>
    <font>
      <sz val="12"/>
      <name val="Book Antiqua"/>
      <family val="1"/>
    </font>
    <font>
      <sz val="11"/>
      <color rgb="FF000000"/>
      <name val="Arial"/>
      <family val="2"/>
    </font>
    <font>
      <sz val="11"/>
      <name val="Garamond"/>
      <family val="1"/>
    </font>
    <font>
      <u/>
      <sz val="11"/>
      <name val="Calibri"/>
      <family val="2"/>
      <scheme val="minor"/>
    </font>
    <font>
      <b/>
      <sz val="11"/>
      <color rgb="FF000000"/>
      <name val="Calibri"/>
      <family val="2"/>
      <scheme val="minor"/>
    </font>
    <font>
      <sz val="11"/>
      <color rgb="FF000000"/>
      <name val="Calibri"/>
      <family val="2"/>
      <scheme val="minor"/>
    </font>
    <font>
      <u/>
      <sz val="11"/>
      <color theme="10"/>
      <name val="Calibri"/>
      <family val="2"/>
      <scheme val="minor"/>
    </font>
    <font>
      <sz val="10"/>
      <name val="Calibri"/>
      <family val="2"/>
    </font>
    <font>
      <sz val="11"/>
      <color rgb="FF000000"/>
      <name val="Calibri"/>
      <family val="2"/>
    </font>
    <font>
      <sz val="8"/>
      <name val="Calibri"/>
      <family val="2"/>
      <scheme val="minor"/>
    </font>
    <font>
      <sz val="11"/>
      <color rgb="FFFF0000"/>
      <name val="Calibri"/>
      <family val="2"/>
      <scheme val="minor"/>
    </font>
    <font>
      <sz val="11"/>
      <name val="Helvetica Narrow"/>
      <family val="2"/>
    </font>
    <font>
      <b/>
      <sz val="11"/>
      <name val="Helvetica Narrow"/>
      <family val="2"/>
    </font>
    <font>
      <sz val="11"/>
      <name val="Calibri "/>
    </font>
    <font>
      <sz val="10"/>
      <color theme="0"/>
      <name val="Calibri"/>
      <family val="2"/>
      <scheme val="minor"/>
    </font>
    <font>
      <sz val="10"/>
      <name val="Courier"/>
      <family val="3"/>
    </font>
    <font>
      <sz val="10"/>
      <name val="Times New Roman"/>
      <family val="1"/>
    </font>
    <font>
      <b/>
      <vertAlign val="superscript"/>
      <sz val="11"/>
      <name val="Calibri"/>
      <family val="2"/>
      <scheme val="minor"/>
    </font>
    <font>
      <b/>
      <sz val="9"/>
      <color rgb="FF000000"/>
      <name val="Times New Roman"/>
      <family val="2"/>
    </font>
    <font>
      <b/>
      <sz val="11"/>
      <color rgb="FF0F233D"/>
      <name val="Calibri"/>
      <family val="2"/>
      <scheme val="minor"/>
    </font>
    <font>
      <sz val="11"/>
      <color rgb="FF0F233D"/>
      <name val="Calibri"/>
      <family val="2"/>
      <scheme val="minor"/>
    </font>
    <font>
      <sz val="9"/>
      <color rgb="FF000000"/>
      <name val="Times New Roman"/>
      <family val="2"/>
    </font>
    <font>
      <b/>
      <i/>
      <sz val="10"/>
      <name val="Calibri"/>
      <family val="2"/>
      <scheme val="minor"/>
    </font>
    <font>
      <u/>
      <sz val="7.7"/>
      <color theme="10"/>
      <name val="Calibri"/>
      <family val="2"/>
    </font>
    <font>
      <b/>
      <sz val="10"/>
      <name val="Times New Roman"/>
      <family val="1"/>
    </font>
    <font>
      <sz val="10"/>
      <color rgb="FF000000"/>
      <name val="Times New Roman"/>
      <family val="1"/>
    </font>
    <font>
      <sz val="11"/>
      <name val="Arial"/>
      <family val="2"/>
    </font>
    <font>
      <sz val="11"/>
      <color theme="1"/>
      <name val="Cambria"/>
      <family val="1"/>
      <scheme val="major"/>
    </font>
    <font>
      <b/>
      <sz val="9"/>
      <name val="Calibri"/>
      <family val="2"/>
      <scheme val="minor"/>
    </font>
    <font>
      <b/>
      <sz val="11"/>
      <name val="Calibri"/>
      <family val="2"/>
    </font>
    <font>
      <sz val="12"/>
      <name val="Calibri"/>
      <family val="2"/>
    </font>
    <font>
      <b/>
      <sz val="11"/>
      <name val="Arial"/>
      <family val="2"/>
    </font>
    <font>
      <b/>
      <sz val="12"/>
      <name val="Calibri"/>
      <family val="2"/>
    </font>
    <font>
      <b/>
      <sz val="12"/>
      <name val="Arial"/>
      <family val="2"/>
    </font>
    <font>
      <i/>
      <sz val="10"/>
      <name val="Calibri"/>
      <family val="2"/>
      <scheme val="minor"/>
    </font>
    <font>
      <sz val="11"/>
      <name val="Times New Roman"/>
      <family val="1"/>
    </font>
    <font>
      <sz val="11"/>
      <name val="Cambria"/>
      <family val="1"/>
      <scheme val="major"/>
    </font>
    <font>
      <b/>
      <sz val="11"/>
      <name val="Cambria"/>
      <family val="1"/>
      <scheme val="major"/>
    </font>
    <font>
      <b/>
      <sz val="11"/>
      <color theme="1"/>
      <name val="Calibri"/>
      <family val="2"/>
    </font>
    <font>
      <sz val="10"/>
      <color theme="1"/>
      <name val="Arial Unicode MS"/>
      <family val="2"/>
    </font>
    <font>
      <sz val="10"/>
      <color indexed="8"/>
      <name val="匠牥晩††††††††††"/>
    </font>
    <font>
      <sz val="12"/>
      <color indexed="8"/>
      <name val="Calibri"/>
      <family val="2"/>
      <scheme val="minor"/>
    </font>
    <font>
      <sz val="12"/>
      <name val="Times New Roman"/>
      <family val="1"/>
    </font>
    <font>
      <b/>
      <sz val="8"/>
      <name val="Times New Roman"/>
      <family val="1"/>
    </font>
    <font>
      <sz val="8"/>
      <name val="Times New Roman"/>
      <family val="1"/>
    </font>
    <font>
      <sz val="14"/>
      <name val="Times New Roman"/>
      <family val="1"/>
    </font>
    <font>
      <i/>
      <sz val="12"/>
      <name val="Times New Roman"/>
      <family val="1"/>
    </font>
    <font>
      <sz val="10"/>
      <color rgb="FF202124"/>
      <name val="Arial"/>
      <family val="2"/>
    </font>
    <font>
      <i/>
      <sz val="11"/>
      <name val="Times New Roman"/>
      <family val="1"/>
    </font>
    <font>
      <i/>
      <sz val="8"/>
      <name val="Times New Roman"/>
      <family val="1"/>
    </font>
    <font>
      <sz val="9"/>
      <name val="Times New Roman"/>
      <family val="1"/>
    </font>
    <font>
      <sz val="9"/>
      <color indexed="81"/>
      <name val="Tahoma"/>
      <family val="2"/>
    </font>
    <font>
      <b/>
      <sz val="11"/>
      <name val="Times New Roman"/>
      <family val="1"/>
    </font>
    <font>
      <b/>
      <sz val="9"/>
      <color indexed="81"/>
      <name val="Tahoma"/>
      <family val="2"/>
    </font>
    <font>
      <i/>
      <sz val="11"/>
      <color theme="1"/>
      <name val="Calibri"/>
      <family val="2"/>
      <scheme val="minor"/>
    </font>
    <font>
      <b/>
      <sz val="8.5"/>
      <name val="Calibri"/>
      <family val="2"/>
    </font>
    <font>
      <b/>
      <sz val="8.5"/>
      <name val="Calibri"/>
      <family val="1"/>
    </font>
    <font>
      <sz val="8.5"/>
      <color rgb="FF000000"/>
      <name val="Calibri"/>
      <family val="2"/>
    </font>
    <font>
      <sz val="8.5"/>
      <name val="Calibri"/>
      <family val="1"/>
    </font>
    <font>
      <vertAlign val="subscript"/>
      <sz val="11"/>
      <name val="Calibri"/>
      <family val="2"/>
      <scheme val="minor"/>
    </font>
    <font>
      <b/>
      <sz val="14"/>
      <color theme="1"/>
      <name val="Calibri"/>
      <family val="2"/>
      <scheme val="minor"/>
    </font>
    <font>
      <sz val="7.5"/>
      <name val="Times New Roman"/>
      <family val="1"/>
    </font>
    <font>
      <b/>
      <sz val="11"/>
      <color rgb="FF000000"/>
      <name val="Mangal"/>
      <family val="1"/>
    </font>
    <font>
      <sz val="11"/>
      <color rgb="FF000000"/>
      <name val="Mangal"/>
      <family val="1"/>
    </font>
    <font>
      <sz val="9.5"/>
      <name val="Cambria"/>
      <family val="1"/>
    </font>
    <font>
      <b/>
      <sz val="10"/>
      <color rgb="FF000000"/>
      <name val="Times New Roman"/>
      <family val="1"/>
    </font>
    <font>
      <b/>
      <sz val="9.5"/>
      <name val="Cambria"/>
      <family val="1"/>
    </font>
    <font>
      <sz val="9.5"/>
      <name val="Times New Roman"/>
      <family val="1"/>
    </font>
    <font>
      <b/>
      <sz val="9.5"/>
      <name val="Times New Roman"/>
      <family val="1"/>
    </font>
    <font>
      <sz val="11"/>
      <color theme="1"/>
      <name val="Times New Roman"/>
      <family val="1"/>
    </font>
  </fonts>
  <fills count="9">
    <fill>
      <patternFill patternType="none"/>
    </fill>
    <fill>
      <patternFill patternType="gray125"/>
    </fill>
    <fill>
      <patternFill patternType="solid">
        <fgColor theme="8" tint="0.79998168889431442"/>
        <bgColor indexed="64"/>
      </patternFill>
    </fill>
    <fill>
      <patternFill patternType="solid">
        <fgColor theme="4" tint="0.79998168889431442"/>
        <bgColor indexed="64"/>
      </patternFill>
    </fill>
    <fill>
      <patternFill patternType="solid">
        <fgColor theme="6" tint="0.59999389629810485"/>
        <bgColor indexed="65"/>
      </patternFill>
    </fill>
    <fill>
      <patternFill patternType="solid">
        <fgColor theme="0"/>
        <bgColor indexed="64"/>
      </patternFill>
    </fill>
    <fill>
      <patternFill patternType="solid">
        <fgColor rgb="FFFFFF00"/>
        <bgColor indexed="64"/>
      </patternFill>
    </fill>
    <fill>
      <patternFill patternType="solid">
        <fgColor rgb="FFDAEEF3"/>
        <bgColor indexed="64"/>
      </patternFill>
    </fill>
    <fill>
      <patternFill patternType="solid">
        <fgColor rgb="FFE6E6E8"/>
      </patternFill>
    </fill>
  </fills>
  <borders count="8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diagonal/>
    </border>
    <border>
      <left style="medium">
        <color rgb="FF000000"/>
      </left>
      <right style="medium">
        <color rgb="FF000000"/>
      </right>
      <top style="medium">
        <color rgb="FF000000"/>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double">
        <color rgb="FF00B0F0"/>
      </left>
      <right/>
      <top style="double">
        <color rgb="FF00B0F0"/>
      </top>
      <bottom/>
      <diagonal/>
    </border>
    <border>
      <left/>
      <right/>
      <top style="double">
        <color rgb="FF00B0F0"/>
      </top>
      <bottom/>
      <diagonal/>
    </border>
    <border>
      <left/>
      <right style="double">
        <color rgb="FF00B0F0"/>
      </right>
      <top style="double">
        <color rgb="FF00B0F0"/>
      </top>
      <bottom/>
      <diagonal/>
    </border>
    <border>
      <left style="double">
        <color rgb="FF00B0F0"/>
      </left>
      <right/>
      <top/>
      <bottom/>
      <diagonal/>
    </border>
    <border>
      <left/>
      <right style="double">
        <color rgb="FF00B0F0"/>
      </right>
      <top/>
      <bottom/>
      <diagonal/>
    </border>
    <border>
      <left style="thin">
        <color indexed="64"/>
      </left>
      <right style="double">
        <color rgb="FF00B0F0"/>
      </right>
      <top style="thin">
        <color indexed="64"/>
      </top>
      <bottom style="thin">
        <color indexed="64"/>
      </bottom>
      <diagonal/>
    </border>
    <border>
      <left style="double">
        <color rgb="FF00B0F0"/>
      </left>
      <right style="medium">
        <color rgb="FF000000"/>
      </right>
      <top style="medium">
        <color rgb="FF000000"/>
      </top>
      <bottom style="medium">
        <color rgb="FF000000"/>
      </bottom>
      <diagonal/>
    </border>
    <border>
      <left/>
      <right style="double">
        <color rgb="FF00B0F0"/>
      </right>
      <top style="medium">
        <color rgb="FF000000"/>
      </top>
      <bottom style="medium">
        <color rgb="FF000000"/>
      </bottom>
      <diagonal/>
    </border>
    <border>
      <left style="double">
        <color rgb="FF00B0F0"/>
      </left>
      <right style="medium">
        <color rgb="FF000000"/>
      </right>
      <top style="medium">
        <color rgb="FF000000"/>
      </top>
      <bottom/>
      <diagonal/>
    </border>
    <border>
      <left style="medium">
        <color rgb="FF000000"/>
      </left>
      <right style="double">
        <color rgb="FF00B0F0"/>
      </right>
      <top style="medium">
        <color rgb="FF000000"/>
      </top>
      <bottom/>
      <diagonal/>
    </border>
    <border>
      <left style="double">
        <color rgb="FF00B0F0"/>
      </left>
      <right style="medium">
        <color rgb="FF000000"/>
      </right>
      <top/>
      <bottom/>
      <diagonal/>
    </border>
    <border>
      <left style="medium">
        <color rgb="FF000000"/>
      </left>
      <right style="double">
        <color rgb="FF00B0F0"/>
      </right>
      <top/>
      <bottom/>
      <diagonal/>
    </border>
    <border>
      <left style="double">
        <color rgb="FF00B0F0"/>
      </left>
      <right style="medium">
        <color rgb="FF000000"/>
      </right>
      <top/>
      <bottom style="medium">
        <color rgb="FF000000"/>
      </bottom>
      <diagonal/>
    </border>
    <border>
      <left style="medium">
        <color rgb="FF000000"/>
      </left>
      <right style="double">
        <color rgb="FF00B0F0"/>
      </right>
      <top/>
      <bottom style="medium">
        <color rgb="FF000000"/>
      </bottom>
      <diagonal/>
    </border>
    <border>
      <left style="double">
        <color rgb="FF00B0F0"/>
      </left>
      <right/>
      <top/>
      <bottom style="double">
        <color rgb="FF00B0F0"/>
      </bottom>
      <diagonal/>
    </border>
    <border>
      <left/>
      <right/>
      <top/>
      <bottom style="double">
        <color rgb="FF00B0F0"/>
      </bottom>
      <diagonal/>
    </border>
    <border>
      <left/>
      <right style="double">
        <color rgb="FF00B0F0"/>
      </right>
      <top/>
      <bottom style="double">
        <color rgb="FF00B0F0"/>
      </bottom>
      <diagonal/>
    </border>
    <border>
      <left style="double">
        <color rgb="FF00B0F0"/>
      </left>
      <right style="thin">
        <color indexed="64"/>
      </right>
      <top style="thin">
        <color indexed="64"/>
      </top>
      <bottom style="thin">
        <color indexed="64"/>
      </bottom>
      <diagonal/>
    </border>
    <border>
      <left style="double">
        <color rgb="FF00B0F0"/>
      </left>
      <right/>
      <top style="thin">
        <color indexed="64"/>
      </top>
      <bottom style="thin">
        <color indexed="64"/>
      </bottom>
      <diagonal/>
    </border>
    <border>
      <left style="double">
        <color rgb="FF00B0F0"/>
      </left>
      <right/>
      <top/>
      <bottom style="thin">
        <color indexed="64"/>
      </bottom>
      <diagonal/>
    </border>
    <border>
      <left/>
      <right style="double">
        <color rgb="FF00B0F0"/>
      </right>
      <top/>
      <bottom style="thin">
        <color indexed="64"/>
      </bottom>
      <diagonal/>
    </border>
    <border>
      <left style="thin">
        <color indexed="64"/>
      </left>
      <right/>
      <top/>
      <bottom style="thin">
        <color indexed="64"/>
      </bottom>
      <diagonal/>
    </border>
    <border>
      <left style="double">
        <color rgb="FF00B0F0"/>
      </left>
      <right style="thin">
        <color indexed="64"/>
      </right>
      <top style="thin">
        <color indexed="64"/>
      </top>
      <bottom/>
      <diagonal/>
    </border>
    <border>
      <left style="thin">
        <color indexed="64"/>
      </left>
      <right style="double">
        <color rgb="FF00B0F0"/>
      </right>
      <top style="thin">
        <color indexed="64"/>
      </top>
      <bottom/>
      <diagonal/>
    </border>
    <border>
      <left style="double">
        <color rgb="FF00B0F0"/>
      </left>
      <right style="thin">
        <color indexed="64"/>
      </right>
      <top/>
      <bottom/>
      <diagonal/>
    </border>
    <border>
      <left style="thin">
        <color indexed="64"/>
      </left>
      <right style="double">
        <color rgb="FF00B0F0"/>
      </right>
      <top/>
      <bottom/>
      <diagonal/>
    </border>
    <border>
      <left style="double">
        <color rgb="FF00B0F0"/>
      </left>
      <right style="thin">
        <color indexed="64"/>
      </right>
      <top/>
      <bottom style="thin">
        <color indexed="64"/>
      </bottom>
      <diagonal/>
    </border>
    <border>
      <left style="thin">
        <color indexed="64"/>
      </left>
      <right style="double">
        <color rgb="FF00B0F0"/>
      </right>
      <top/>
      <bottom style="thin">
        <color indexed="64"/>
      </bottom>
      <diagonal/>
    </border>
    <border>
      <left style="double">
        <color rgb="FF00B0F0"/>
      </left>
      <right style="thin">
        <color indexed="64"/>
      </right>
      <top style="thin">
        <color indexed="64"/>
      </top>
      <bottom style="double">
        <color rgb="FF00B0F0"/>
      </bottom>
      <diagonal/>
    </border>
    <border>
      <left style="thin">
        <color indexed="64"/>
      </left>
      <right style="thin">
        <color indexed="64"/>
      </right>
      <top style="thin">
        <color indexed="64"/>
      </top>
      <bottom style="double">
        <color rgb="FF00B0F0"/>
      </bottom>
      <diagonal/>
    </border>
    <border>
      <left style="thin">
        <color indexed="64"/>
      </left>
      <right style="double">
        <color rgb="FF00B0F0"/>
      </right>
      <top style="thin">
        <color indexed="64"/>
      </top>
      <bottom style="double">
        <color rgb="FF00B0F0"/>
      </bottom>
      <diagonal/>
    </border>
    <border>
      <left/>
      <right style="double">
        <color rgb="FF00B0F0"/>
      </right>
      <top style="thin">
        <color indexed="64"/>
      </top>
      <bottom style="thin">
        <color indexed="64"/>
      </bottom>
      <diagonal/>
    </border>
    <border>
      <left style="thin">
        <color rgb="FF000000"/>
      </left>
      <right style="thin">
        <color rgb="FF000000"/>
      </right>
      <top style="thin">
        <color rgb="FF000000"/>
      </top>
      <bottom/>
      <diagonal/>
    </border>
    <border>
      <left style="thin">
        <color rgb="FF000000"/>
      </left>
      <right style="thin">
        <color rgb="FF000000"/>
      </right>
      <top style="thin">
        <color indexed="64"/>
      </top>
      <bottom style="double">
        <color rgb="FF00B0F0"/>
      </bottom>
      <diagonal/>
    </border>
    <border>
      <left style="double">
        <color rgb="FF00B0F0"/>
      </left>
      <right/>
      <top style="thin">
        <color indexed="64"/>
      </top>
      <bottom/>
      <diagonal/>
    </border>
    <border>
      <left/>
      <right style="double">
        <color rgb="FF00B0F0"/>
      </right>
      <top style="thin">
        <color indexed="64"/>
      </top>
      <bottom/>
      <diagonal/>
    </border>
    <border>
      <left/>
      <right style="thin">
        <color indexed="64"/>
      </right>
      <top style="thin">
        <color indexed="64"/>
      </top>
      <bottom style="double">
        <color rgb="FF00B0F0"/>
      </bottom>
      <diagonal/>
    </border>
    <border>
      <left/>
      <right style="thin">
        <color indexed="64"/>
      </right>
      <top/>
      <bottom style="thin">
        <color indexed="64"/>
      </bottom>
      <diagonal/>
    </border>
    <border>
      <left/>
      <right style="thin">
        <color rgb="FF000000"/>
      </right>
      <top style="thin">
        <color rgb="FF000000"/>
      </top>
      <bottom style="thin">
        <color rgb="FF000000"/>
      </bottom>
      <diagonal/>
    </border>
    <border>
      <left/>
      <right style="thin">
        <color indexed="64"/>
      </right>
      <top style="thin">
        <color indexed="64"/>
      </top>
      <bottom/>
      <diagonal/>
    </border>
    <border>
      <left style="thin">
        <color rgb="FF000000"/>
      </left>
      <right style="thin">
        <color rgb="FF0F233D"/>
      </right>
      <top style="thin">
        <color rgb="FF0F233D"/>
      </top>
      <bottom style="thin">
        <color rgb="FF000000"/>
      </bottom>
      <diagonal/>
    </border>
    <border>
      <left style="thin">
        <color rgb="FF0F233D"/>
      </left>
      <right style="thin">
        <color rgb="FF000000"/>
      </right>
      <top style="thin">
        <color rgb="FF0F233D"/>
      </top>
      <bottom style="thin">
        <color rgb="FF000000"/>
      </bottom>
      <diagonal/>
    </border>
    <border>
      <left style="thin">
        <color rgb="FF0F233D"/>
      </left>
      <right style="thin">
        <color rgb="FF0F233D"/>
      </right>
      <top style="thin">
        <color rgb="FF0F233D"/>
      </top>
      <bottom style="thin">
        <color rgb="FF000000"/>
      </bottom>
      <diagonal/>
    </border>
    <border>
      <left style="thin">
        <color indexed="64"/>
      </left>
      <right/>
      <top style="thin">
        <color indexed="64"/>
      </top>
      <bottom style="double">
        <color rgb="FF00B0F0"/>
      </bottom>
      <diagonal/>
    </border>
    <border>
      <left style="double">
        <color rgb="FF00B0F0"/>
      </left>
      <right style="thin">
        <color indexed="64"/>
      </right>
      <top style="double">
        <color rgb="FF00B0F0"/>
      </top>
      <bottom style="thin">
        <color indexed="64"/>
      </bottom>
      <diagonal/>
    </border>
    <border>
      <left style="thin">
        <color indexed="64"/>
      </left>
      <right style="thin">
        <color indexed="64"/>
      </right>
      <top style="double">
        <color rgb="FF00B0F0"/>
      </top>
      <bottom style="thin">
        <color indexed="64"/>
      </bottom>
      <diagonal/>
    </border>
    <border>
      <left style="thin">
        <color indexed="64"/>
      </left>
      <right style="double">
        <color rgb="FF00B0F0"/>
      </right>
      <top style="double">
        <color rgb="FF00B0F0"/>
      </top>
      <bottom style="thin">
        <color indexed="64"/>
      </bottom>
      <diagonal/>
    </border>
    <border>
      <left style="double">
        <color rgb="FF00B0F0"/>
      </left>
      <right/>
      <top style="thin">
        <color indexed="64"/>
      </top>
      <bottom style="double">
        <color rgb="FF00B0F0"/>
      </bottom>
      <diagonal/>
    </border>
    <border>
      <left/>
      <right style="double">
        <color rgb="FF00B0F0"/>
      </right>
      <top style="thin">
        <color rgb="FF000000"/>
      </top>
      <bottom style="thin">
        <color rgb="FF000000"/>
      </bottom>
      <diagonal/>
    </border>
    <border>
      <left/>
      <right style="thin">
        <color indexed="64"/>
      </right>
      <top/>
      <bottom/>
      <diagonal/>
    </border>
    <border>
      <left style="double">
        <color rgb="FF00B0F0"/>
      </left>
      <right style="double">
        <color rgb="FF00B0F0"/>
      </right>
      <top style="thin">
        <color indexed="64"/>
      </top>
      <bottom style="thin">
        <color indexed="64"/>
      </bottom>
      <diagonal/>
    </border>
    <border>
      <left/>
      <right style="thin">
        <color rgb="FF000000"/>
      </right>
      <top/>
      <bottom style="thin">
        <color rgb="FF000000"/>
      </bottom>
      <diagonal/>
    </border>
    <border>
      <left/>
      <right style="thin">
        <color rgb="FF000000"/>
      </right>
      <top style="thin">
        <color rgb="FF000000"/>
      </top>
      <bottom/>
      <diagonal/>
    </border>
    <border>
      <left/>
      <right style="thin">
        <color rgb="FF000000"/>
      </right>
      <top style="thin">
        <color indexed="64"/>
      </top>
      <bottom style="double">
        <color rgb="FF00B0F0"/>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style="thin">
        <color indexed="64"/>
      </top>
      <bottom style="double">
        <color rgb="FF00B0F0"/>
      </bottom>
      <diagonal/>
    </border>
    <border>
      <left style="thin">
        <color rgb="FF000000"/>
      </left>
      <right style="thin">
        <color rgb="FF000000"/>
      </right>
      <top style="thin">
        <color rgb="FF000000"/>
      </top>
      <bottom style="double">
        <color rgb="FF00B0F0"/>
      </bottom>
      <diagonal/>
    </border>
    <border>
      <left/>
      <right style="double">
        <color rgb="FF00B0F0"/>
      </right>
      <top style="thin">
        <color indexed="64"/>
      </top>
      <bottom style="double">
        <color rgb="FF00B0F0"/>
      </bottom>
      <diagonal/>
    </border>
    <border>
      <left style="double">
        <color rgb="FF00B0F0"/>
      </left>
      <right style="thin">
        <color indexed="64"/>
      </right>
      <top style="double">
        <color rgb="FF00B0F0"/>
      </top>
      <bottom/>
      <diagonal/>
    </border>
    <border>
      <left style="thin">
        <color rgb="FF000000"/>
      </left>
      <right style="double">
        <color rgb="FF00B0F0"/>
      </right>
      <top style="thin">
        <color indexed="64"/>
      </top>
      <bottom style="thin">
        <color indexed="64"/>
      </bottom>
      <diagonal/>
    </border>
    <border>
      <left style="double">
        <color rgb="FF00B0F0"/>
      </left>
      <right style="double">
        <color rgb="FF00B0F0"/>
      </right>
      <top/>
      <bottom/>
      <diagonal/>
    </border>
    <border>
      <left style="double">
        <color rgb="FF00B0F0"/>
      </left>
      <right style="thin">
        <color rgb="FF000000"/>
      </right>
      <top style="thin">
        <color indexed="64"/>
      </top>
      <bottom/>
      <diagonal/>
    </border>
    <border>
      <left/>
      <right/>
      <top style="thin">
        <color indexed="64"/>
      </top>
      <bottom style="double">
        <color rgb="FF00B0F0"/>
      </bottom>
      <diagonal/>
    </border>
  </borders>
  <cellStyleXfs count="96">
    <xf numFmtId="0" fontId="0"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4" fontId="1" fillId="0" borderId="0" applyFont="0" applyFill="0" applyBorder="0" applyAlignment="0" applyProtection="0"/>
    <xf numFmtId="0" fontId="15" fillId="0" borderId="0" applyNumberFormat="0" applyFill="0" applyBorder="0" applyAlignment="0" applyProtection="0">
      <alignment vertical="top"/>
      <protection locked="0"/>
    </xf>
    <xf numFmtId="0" fontId="4" fillId="0" borderId="0"/>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7" fillId="0" borderId="0"/>
    <xf numFmtId="0" fontId="4" fillId="0" borderId="0"/>
    <xf numFmtId="0" fontId="4" fillId="0" borderId="0"/>
    <xf numFmtId="0" fontId="18" fillId="0" borderId="0"/>
    <xf numFmtId="0" fontId="16" fillId="0" borderId="0"/>
    <xf numFmtId="0" fontId="16" fillId="0" borderId="0"/>
    <xf numFmtId="0" fontId="1" fillId="0" borderId="0"/>
    <xf numFmtId="0" fontId="1" fillId="0" borderId="0"/>
    <xf numFmtId="0" fontId="16" fillId="0" borderId="0"/>
    <xf numFmtId="0" fontId="4" fillId="0" borderId="0"/>
    <xf numFmtId="0" fontId="4" fillId="0" borderId="0"/>
    <xf numFmtId="0" fontId="1" fillId="0" borderId="0"/>
    <xf numFmtId="0" fontId="4" fillId="0" borderId="0"/>
    <xf numFmtId="0" fontId="4"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16" fillId="0" borderId="0" applyFont="0" applyFill="0" applyBorder="0" applyAlignment="0" applyProtection="0"/>
    <xf numFmtId="0" fontId="21" fillId="0" borderId="0" applyNumberFormat="0" applyFill="0" applyBorder="0" applyAlignment="0" applyProtection="0">
      <alignment vertical="top"/>
      <protection locked="0"/>
    </xf>
    <xf numFmtId="0" fontId="4" fillId="0" borderId="0"/>
    <xf numFmtId="0" fontId="41" fillId="0" borderId="0" applyNumberForma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4" borderId="0" applyNumberFormat="0" applyBorder="0" applyAlignment="0" applyProtection="0"/>
    <xf numFmtId="0" fontId="50" fillId="0" borderId="0"/>
    <xf numFmtId="0" fontId="50" fillId="0" borderId="0"/>
    <xf numFmtId="0" fontId="1" fillId="0" borderId="0"/>
    <xf numFmtId="0" fontId="1" fillId="0" borderId="0"/>
    <xf numFmtId="0" fontId="1" fillId="0" borderId="0"/>
    <xf numFmtId="0" fontId="1" fillId="0" borderId="0"/>
    <xf numFmtId="0" fontId="1" fillId="0" borderId="0"/>
    <xf numFmtId="0" fontId="58" fillId="0" borderId="0" applyNumberFormat="0" applyFill="0" applyBorder="0" applyAlignment="0" applyProtection="0">
      <alignment vertical="top"/>
      <protection locked="0"/>
    </xf>
    <xf numFmtId="164" fontId="1" fillId="0" borderId="0" applyFont="0" applyFill="0" applyBorder="0" applyAlignment="0" applyProtection="0"/>
    <xf numFmtId="0" fontId="1" fillId="0" borderId="0"/>
    <xf numFmtId="0" fontId="1" fillId="0" borderId="0"/>
    <xf numFmtId="0" fontId="1" fillId="0" borderId="0"/>
    <xf numFmtId="0" fontId="4" fillId="0" borderId="0"/>
    <xf numFmtId="0" fontId="41" fillId="0" borderId="0" applyNumberFormat="0" applyFill="0" applyBorder="0" applyAlignment="0" applyProtection="0"/>
    <xf numFmtId="0" fontId="75" fillId="0" borderId="0"/>
    <xf numFmtId="0" fontId="4" fillId="0" borderId="0"/>
    <xf numFmtId="0" fontId="60" fillId="0" borderId="0"/>
  </cellStyleXfs>
  <cellXfs count="2632">
    <xf numFmtId="0" fontId="0" fillId="0" borderId="0" xfId="0"/>
    <xf numFmtId="0" fontId="3" fillId="0" borderId="0" xfId="0" applyFont="1"/>
    <xf numFmtId="0" fontId="3" fillId="0" borderId="1" xfId="0" applyFont="1" applyBorder="1" applyAlignment="1">
      <alignment horizontal="center"/>
    </xf>
    <xf numFmtId="0" fontId="3" fillId="0" borderId="1" xfId="0" applyFont="1" applyBorder="1" applyAlignment="1">
      <alignment horizontal="right" vertical="center"/>
    </xf>
    <xf numFmtId="0" fontId="5" fillId="0" borderId="1" xfId="0" applyFont="1" applyBorder="1" applyAlignment="1">
      <alignment horizontal="right" vertical="center"/>
    </xf>
    <xf numFmtId="0" fontId="3" fillId="0" borderId="1" xfId="0" applyFont="1" applyBorder="1" applyAlignment="1">
      <alignment vertical="center"/>
    </xf>
    <xf numFmtId="0" fontId="5" fillId="0" borderId="0" xfId="0" applyFont="1"/>
    <xf numFmtId="0" fontId="3" fillId="0" borderId="0" xfId="0" applyFont="1" applyAlignment="1">
      <alignment vertical="center"/>
    </xf>
    <xf numFmtId="0" fontId="0" fillId="0" borderId="1" xfId="0" applyBorder="1" applyAlignment="1">
      <alignment vertical="center"/>
    </xf>
    <xf numFmtId="0" fontId="0" fillId="0" borderId="0" xfId="0" applyAlignment="1">
      <alignment vertical="center"/>
    </xf>
    <xf numFmtId="0" fontId="3" fillId="0" borderId="1" xfId="7" applyFont="1" applyBorder="1" applyAlignment="1">
      <alignment horizontal="center" vertical="center"/>
    </xf>
    <xf numFmtId="2" fontId="3" fillId="0" borderId="1" xfId="6" applyNumberFormat="1" applyFont="1" applyBorder="1" applyAlignment="1">
      <alignment vertical="center"/>
    </xf>
    <xf numFmtId="0" fontId="3" fillId="0" borderId="1" xfId="0" applyFont="1" applyBorder="1" applyAlignment="1">
      <alignment vertical="center" wrapText="1"/>
    </xf>
    <xf numFmtId="2" fontId="5" fillId="0" borderId="1" xfId="6" applyNumberFormat="1" applyFont="1" applyBorder="1" applyAlignment="1">
      <alignment vertical="center"/>
    </xf>
    <xf numFmtId="0" fontId="3" fillId="0" borderId="0" xfId="7" applyFont="1" applyAlignment="1">
      <alignment vertical="center"/>
    </xf>
    <xf numFmtId="0" fontId="7" fillId="0" borderId="0" xfId="7" applyFont="1" applyAlignment="1">
      <alignment vertical="center"/>
    </xf>
    <xf numFmtId="2" fontId="7" fillId="0" borderId="0" xfId="7" applyNumberFormat="1" applyFont="1" applyAlignment="1">
      <alignment horizontal="right" vertical="center"/>
    </xf>
    <xf numFmtId="0" fontId="12" fillId="0" borderId="0" xfId="7" applyFont="1" applyAlignment="1">
      <alignment vertical="center"/>
    </xf>
    <xf numFmtId="0" fontId="3" fillId="0" borderId="0" xfId="0" applyFont="1" applyAlignment="1">
      <alignment vertical="center" wrapText="1"/>
    </xf>
    <xf numFmtId="0" fontId="1" fillId="0" borderId="0" xfId="0" applyFont="1" applyAlignment="1">
      <alignment vertical="center"/>
    </xf>
    <xf numFmtId="0" fontId="5" fillId="0" borderId="1" xfId="9" applyFont="1" applyBorder="1" applyAlignment="1">
      <alignment vertical="center"/>
    </xf>
    <xf numFmtId="0" fontId="3" fillId="0" borderId="1" xfId="4" applyFont="1" applyBorder="1" applyAlignment="1">
      <alignment vertical="center"/>
    </xf>
    <xf numFmtId="0" fontId="3" fillId="0" borderId="1" xfId="4" applyFont="1" applyBorder="1" applyAlignment="1">
      <alignment horizontal="center" vertical="center"/>
    </xf>
    <xf numFmtId="0" fontId="3" fillId="0" borderId="0" xfId="4" applyFont="1" applyAlignment="1">
      <alignment vertical="center"/>
    </xf>
    <xf numFmtId="0" fontId="3" fillId="0" borderId="1" xfId="0" applyFont="1" applyBorder="1" applyAlignment="1">
      <alignment horizontal="left" vertical="center"/>
    </xf>
    <xf numFmtId="0" fontId="3" fillId="0" borderId="1" xfId="0" applyFont="1" applyBorder="1" applyAlignment="1">
      <alignment horizontal="left" vertical="center" wrapText="1"/>
    </xf>
    <xf numFmtId="0" fontId="3" fillId="0" borderId="1" xfId="9" applyFont="1" applyBorder="1" applyAlignment="1">
      <alignment vertical="center"/>
    </xf>
    <xf numFmtId="0" fontId="3" fillId="0" borderId="1" xfId="0" applyFont="1" applyBorder="1" applyAlignment="1">
      <alignment horizontal="center" vertical="top"/>
    </xf>
    <xf numFmtId="0" fontId="0" fillId="0" borderId="1" xfId="0" applyBorder="1" applyAlignment="1">
      <alignment horizontal="right" vertical="center"/>
    </xf>
    <xf numFmtId="0" fontId="3" fillId="0" borderId="0" xfId="0" applyFont="1" applyAlignment="1">
      <alignment wrapText="1"/>
    </xf>
    <xf numFmtId="0" fontId="5" fillId="0" borderId="1" xfId="0" applyFont="1" applyBorder="1" applyAlignment="1">
      <alignment vertical="center"/>
    </xf>
    <xf numFmtId="0" fontId="3" fillId="0" borderId="2" xfId="0" applyFont="1" applyBorder="1" applyAlignment="1">
      <alignment vertical="center"/>
    </xf>
    <xf numFmtId="0" fontId="3" fillId="0" borderId="0" xfId="0" applyFont="1" applyAlignment="1">
      <alignment horizontal="center" vertical="center"/>
    </xf>
    <xf numFmtId="0" fontId="5" fillId="0" borderId="0" xfId="0" applyFont="1" applyAlignment="1">
      <alignment vertical="center"/>
    </xf>
    <xf numFmtId="2" fontId="3" fillId="0" borderId="1" xfId="0" quotePrefix="1" applyNumberFormat="1" applyFont="1" applyBorder="1" applyAlignment="1">
      <alignment horizontal="right" vertical="center"/>
    </xf>
    <xf numFmtId="2" fontId="3" fillId="0" borderId="1" xfId="0" applyNumberFormat="1" applyFont="1" applyBorder="1" applyAlignment="1">
      <alignment horizontal="right" vertical="center" wrapText="1"/>
    </xf>
    <xf numFmtId="2" fontId="3" fillId="0" borderId="1" xfId="0" applyNumberFormat="1" applyFont="1" applyBorder="1" applyAlignment="1">
      <alignment horizontal="right" vertical="center"/>
    </xf>
    <xf numFmtId="2" fontId="3" fillId="0" borderId="1" xfId="0" quotePrefix="1" applyNumberFormat="1" applyFont="1" applyBorder="1" applyAlignment="1">
      <alignment horizontal="right" vertical="center" wrapText="1"/>
    </xf>
    <xf numFmtId="2" fontId="5" fillId="0" borderId="1" xfId="0" applyNumberFormat="1" applyFont="1" applyBorder="1" applyAlignment="1">
      <alignment horizontal="right" vertical="center" wrapText="1"/>
    </xf>
    <xf numFmtId="2" fontId="5" fillId="0" borderId="1" xfId="0" applyNumberFormat="1" applyFont="1" applyBorder="1" applyAlignment="1">
      <alignment horizontal="right" vertical="center"/>
    </xf>
    <xf numFmtId="2" fontId="3" fillId="0" borderId="0" xfId="0" applyNumberFormat="1" applyFont="1" applyAlignment="1">
      <alignment horizontal="right" vertical="center"/>
    </xf>
    <xf numFmtId="0" fontId="25" fillId="0" borderId="0" xfId="0" applyFont="1" applyAlignment="1">
      <alignment vertical="center"/>
    </xf>
    <xf numFmtId="0" fontId="3" fillId="0" borderId="0" xfId="7" applyFont="1" applyAlignment="1">
      <alignment vertical="center" wrapText="1"/>
    </xf>
    <xf numFmtId="0" fontId="5" fillId="0" borderId="5" xfId="7" applyFont="1" applyBorder="1" applyAlignment="1">
      <alignment vertical="center"/>
    </xf>
    <xf numFmtId="0" fontId="5" fillId="0" borderId="5" xfId="7" applyFont="1" applyBorder="1" applyAlignment="1">
      <alignment horizontal="center" vertical="center"/>
    </xf>
    <xf numFmtId="0" fontId="5" fillId="0" borderId="0" xfId="7" applyFont="1" applyAlignment="1">
      <alignment horizontal="center" vertical="center"/>
    </xf>
    <xf numFmtId="0" fontId="3" fillId="0" borderId="5" xfId="7" applyFont="1" applyBorder="1" applyAlignment="1">
      <alignment vertical="center"/>
    </xf>
    <xf numFmtId="0" fontId="8" fillId="0" borderId="0" xfId="0" applyFont="1" applyAlignment="1">
      <alignment vertical="center"/>
    </xf>
    <xf numFmtId="0" fontId="3" fillId="0" borderId="0" xfId="0" applyFont="1" applyAlignment="1">
      <alignment horizontal="right"/>
    </xf>
    <xf numFmtId="0" fontId="8" fillId="0" borderId="0" xfId="0" applyFont="1" applyAlignment="1">
      <alignment horizontal="center" vertical="center"/>
    </xf>
    <xf numFmtId="0" fontId="25" fillId="0" borderId="0" xfId="0" applyFont="1" applyAlignment="1">
      <alignment horizontal="right" vertical="center"/>
    </xf>
    <xf numFmtId="0" fontId="5" fillId="0" borderId="0" xfId="0" applyFont="1" applyAlignment="1">
      <alignment horizontal="center" vertical="center"/>
    </xf>
    <xf numFmtId="2" fontId="5" fillId="0" borderId="0" xfId="0" applyNumberFormat="1" applyFont="1" applyAlignment="1">
      <alignment horizontal="right" vertical="center" wrapText="1"/>
    </xf>
    <xf numFmtId="0" fontId="7" fillId="0" borderId="0" xfId="0" applyFont="1" applyAlignment="1">
      <alignment vertical="center"/>
    </xf>
    <xf numFmtId="0" fontId="5" fillId="0" borderId="2" xfId="0" applyFont="1" applyBorder="1" applyAlignment="1">
      <alignment vertical="center"/>
    </xf>
    <xf numFmtId="2" fontId="3" fillId="0" borderId="1" xfId="0" applyNumberFormat="1" applyFont="1" applyBorder="1" applyAlignment="1">
      <alignment vertical="center"/>
    </xf>
    <xf numFmtId="165" fontId="3" fillId="0" borderId="1" xfId="0" applyNumberFormat="1" applyFont="1" applyBorder="1" applyAlignment="1">
      <alignment horizontal="right" vertical="center"/>
    </xf>
    <xf numFmtId="2" fontId="5" fillId="0" borderId="1" xfId="0" applyNumberFormat="1" applyFont="1" applyBorder="1" applyAlignment="1">
      <alignment vertical="center"/>
    </xf>
    <xf numFmtId="165" fontId="3" fillId="0" borderId="1" xfId="0" applyNumberFormat="1" applyFont="1" applyBorder="1" applyAlignment="1">
      <alignment vertical="center"/>
    </xf>
    <xf numFmtId="0" fontId="3" fillId="0" borderId="1" xfId="4" applyFont="1" applyBorder="1" applyAlignment="1">
      <alignment horizontal="left" vertical="center"/>
    </xf>
    <xf numFmtId="0" fontId="5" fillId="0" borderId="1" xfId="4" applyFont="1" applyBorder="1" applyAlignment="1">
      <alignment horizontal="center" vertical="center"/>
    </xf>
    <xf numFmtId="0" fontId="2" fillId="0" borderId="0" xfId="0" applyFont="1"/>
    <xf numFmtId="0" fontId="1" fillId="0" borderId="0" xfId="0" applyFont="1"/>
    <xf numFmtId="0" fontId="25" fillId="0" borderId="1" xfId="73" applyFont="1" applyBorder="1" applyAlignment="1">
      <alignment horizontal="center" vertical="center"/>
    </xf>
    <xf numFmtId="0" fontId="10" fillId="0" borderId="0" xfId="0" applyFont="1" applyAlignment="1">
      <alignment vertical="center"/>
    </xf>
    <xf numFmtId="0" fontId="12" fillId="0" borderId="0" xfId="0" applyFont="1" applyAlignment="1">
      <alignment vertical="center"/>
    </xf>
    <xf numFmtId="0" fontId="3" fillId="0" borderId="5" xfId="0" applyFont="1" applyBorder="1" applyAlignment="1">
      <alignment vertical="center"/>
    </xf>
    <xf numFmtId="0" fontId="31" fillId="0" borderId="0" xfId="0" applyFont="1" applyAlignment="1">
      <alignment vertical="center"/>
    </xf>
    <xf numFmtId="0" fontId="31" fillId="0" borderId="0" xfId="0" applyFont="1"/>
    <xf numFmtId="0" fontId="32" fillId="0" borderId="0" xfId="0" applyFont="1"/>
    <xf numFmtId="0" fontId="31" fillId="0" borderId="0" xfId="0" applyFont="1" applyAlignment="1">
      <alignment horizontal="center"/>
    </xf>
    <xf numFmtId="0" fontId="31" fillId="0" borderId="0" xfId="0" applyFont="1" applyAlignment="1">
      <alignment wrapText="1"/>
    </xf>
    <xf numFmtId="0" fontId="34" fillId="0" borderId="0" xfId="0" applyFont="1" applyAlignment="1">
      <alignment vertical="center"/>
    </xf>
    <xf numFmtId="0" fontId="35" fillId="0" borderId="0" xfId="0" applyFont="1" applyAlignment="1">
      <alignment vertical="center"/>
    </xf>
    <xf numFmtId="0" fontId="35" fillId="0" borderId="0" xfId="0" applyFont="1"/>
    <xf numFmtId="2" fontId="3" fillId="0" borderId="0" xfId="0" applyNumberFormat="1" applyFont="1" applyAlignment="1">
      <alignment vertical="center"/>
    </xf>
    <xf numFmtId="0" fontId="20" fillId="0" borderId="1" xfId="0" applyFont="1" applyBorder="1" applyAlignment="1">
      <alignment horizontal="left" vertical="center" wrapText="1" indent="1"/>
    </xf>
    <xf numFmtId="9" fontId="20" fillId="0" borderId="1"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center" vertical="center"/>
    </xf>
    <xf numFmtId="0" fontId="25" fillId="2" borderId="0" xfId="0" applyFont="1" applyFill="1" applyAlignment="1">
      <alignment vertical="center"/>
    </xf>
    <xf numFmtId="0" fontId="0" fillId="2" borderId="0" xfId="0" applyFill="1"/>
    <xf numFmtId="0" fontId="3" fillId="2" borderId="1" xfId="0" applyFont="1" applyFill="1" applyBorder="1" applyAlignment="1">
      <alignment vertical="center"/>
    </xf>
    <xf numFmtId="0" fontId="35" fillId="2" borderId="0" xfId="0" applyFont="1" applyFill="1"/>
    <xf numFmtId="0" fontId="31" fillId="2" borderId="0" xfId="0" applyFont="1" applyFill="1"/>
    <xf numFmtId="0" fontId="5" fillId="2" borderId="1" xfId="7" applyFont="1" applyFill="1" applyBorder="1" applyAlignment="1">
      <alignment horizontal="center" vertical="center" wrapText="1"/>
    </xf>
    <xf numFmtId="0" fontId="3" fillId="2" borderId="0" xfId="0" applyFont="1" applyFill="1" applyAlignment="1">
      <alignment vertical="center"/>
    </xf>
    <xf numFmtId="0" fontId="0" fillId="2" borderId="0" xfId="0" applyFill="1" applyAlignment="1">
      <alignment vertical="center"/>
    </xf>
    <xf numFmtId="0" fontId="3" fillId="2" borderId="0" xfId="0" applyFont="1" applyFill="1"/>
    <xf numFmtId="0" fontId="1" fillId="2" borderId="0" xfId="0" applyFont="1" applyFill="1"/>
    <xf numFmtId="0" fontId="3" fillId="0" borderId="1" xfId="0" applyFont="1" applyBorder="1" applyAlignment="1">
      <alignment horizontal="center" vertical="center"/>
    </xf>
    <xf numFmtId="0" fontId="3" fillId="0" borderId="1" xfId="0" applyFont="1" applyBorder="1" applyAlignment="1">
      <alignment horizontal="center" vertical="center" wrapText="1"/>
    </xf>
    <xf numFmtId="0" fontId="0" fillId="2" borderId="0" xfId="0" applyFill="1" applyAlignment="1">
      <alignment horizontal="center" vertical="center"/>
    </xf>
    <xf numFmtId="0" fontId="10" fillId="2" borderId="0" xfId="0" applyFont="1" applyFill="1" applyAlignment="1">
      <alignment vertical="center"/>
    </xf>
    <xf numFmtId="0" fontId="3" fillId="2" borderId="0" xfId="0" applyFont="1" applyFill="1" applyAlignment="1">
      <alignment horizontal="center" vertical="center"/>
    </xf>
    <xf numFmtId="0" fontId="3" fillId="2" borderId="0" xfId="0" applyFont="1" applyFill="1" applyAlignment="1">
      <alignment horizontal="center" vertical="center" wrapText="1"/>
    </xf>
    <xf numFmtId="0" fontId="5" fillId="2" borderId="1" xfId="5" applyFont="1" applyFill="1" applyBorder="1" applyAlignment="1">
      <alignment horizontal="center" vertical="center"/>
    </xf>
    <xf numFmtId="0" fontId="9" fillId="2" borderId="0" xfId="0" applyFont="1" applyFill="1" applyAlignment="1">
      <alignment vertical="center"/>
    </xf>
    <xf numFmtId="0" fontId="13" fillId="2" borderId="0" xfId="0" applyFont="1" applyFill="1" applyAlignment="1">
      <alignment horizontal="center" vertical="center"/>
    </xf>
    <xf numFmtId="0" fontId="32" fillId="2" borderId="0" xfId="0" applyFont="1" applyFill="1" applyAlignment="1">
      <alignment vertical="center" wrapText="1"/>
    </xf>
    <xf numFmtId="0" fontId="35" fillId="2" borderId="0" xfId="0" applyFont="1" applyFill="1" applyAlignment="1">
      <alignment vertical="center"/>
    </xf>
    <xf numFmtId="0" fontId="0" fillId="0" borderId="0" xfId="0" applyAlignment="1">
      <alignment horizontal="center" vertical="top" wrapText="1"/>
    </xf>
    <xf numFmtId="0" fontId="0" fillId="0" borderId="0" xfId="0" applyAlignment="1">
      <alignment vertical="center" wrapText="1"/>
    </xf>
    <xf numFmtId="0" fontId="3" fillId="0" borderId="0" xfId="7" applyFont="1" applyAlignment="1">
      <alignment horizontal="right" vertical="center"/>
    </xf>
    <xf numFmtId="0" fontId="3" fillId="0" borderId="7" xfId="0" applyFont="1" applyBorder="1" applyAlignment="1">
      <alignment vertical="center"/>
    </xf>
    <xf numFmtId="0" fontId="3" fillId="0" borderId="7" xfId="0" applyFont="1" applyBorder="1" applyAlignment="1">
      <alignment vertical="center" wrapText="1"/>
    </xf>
    <xf numFmtId="0" fontId="5" fillId="0" borderId="7" xfId="0" applyFont="1" applyBorder="1" applyAlignment="1">
      <alignment vertical="center"/>
    </xf>
    <xf numFmtId="0" fontId="5" fillId="2" borderId="3" xfId="0" applyFont="1" applyFill="1" applyBorder="1" applyAlignment="1">
      <alignment horizontal="center" vertical="center" wrapText="1"/>
    </xf>
    <xf numFmtId="2" fontId="37" fillId="0" borderId="1" xfId="0" applyNumberFormat="1" applyFont="1" applyBorder="1" applyAlignment="1">
      <alignment horizontal="right" vertical="center" wrapText="1"/>
    </xf>
    <xf numFmtId="2" fontId="3" fillId="0" borderId="1" xfId="0" applyNumberFormat="1" applyFont="1" applyBorder="1" applyAlignment="1">
      <alignment horizontal="center" vertical="center"/>
    </xf>
    <xf numFmtId="0" fontId="2" fillId="2" borderId="1" xfId="0" applyFont="1" applyFill="1" applyBorder="1" applyAlignment="1">
      <alignment horizontal="center" vertical="top" wrapText="1"/>
    </xf>
    <xf numFmtId="0" fontId="3" fillId="0" borderId="0" xfId="0" applyFont="1" applyAlignment="1">
      <alignment horizontal="center" vertical="center" wrapText="1"/>
    </xf>
    <xf numFmtId="43" fontId="3" fillId="0" borderId="1" xfId="0" applyNumberFormat="1" applyFont="1" applyBorder="1" applyAlignment="1">
      <alignment vertical="center"/>
    </xf>
    <xf numFmtId="43" fontId="5" fillId="0" borderId="1" xfId="0" applyNumberFormat="1" applyFont="1" applyBorder="1" applyAlignment="1">
      <alignment vertical="center"/>
    </xf>
    <xf numFmtId="0" fontId="3" fillId="0" borderId="1" xfId="0" applyFont="1" applyBorder="1" applyAlignment="1">
      <alignment horizontal="left" vertical="center" indent="5"/>
    </xf>
    <xf numFmtId="41" fontId="3" fillId="0" borderId="1" xfId="0" applyNumberFormat="1" applyFont="1" applyBorder="1" applyAlignment="1">
      <alignment vertical="center"/>
    </xf>
    <xf numFmtId="41" fontId="5" fillId="0" borderId="1" xfId="0" applyNumberFormat="1" applyFont="1" applyBorder="1" applyAlignment="1">
      <alignment vertical="center"/>
    </xf>
    <xf numFmtId="0" fontId="3" fillId="0" borderId="3" xfId="0" applyFont="1" applyBorder="1" applyAlignment="1">
      <alignment vertical="center"/>
    </xf>
    <xf numFmtId="2" fontId="0" fillId="0" borderId="1" xfId="0" applyNumberFormat="1" applyBorder="1" applyAlignment="1">
      <alignment vertical="center"/>
    </xf>
    <xf numFmtId="0" fontId="35" fillId="0" borderId="0" xfId="0" applyFont="1" applyAlignment="1">
      <alignment horizontal="center" vertical="center"/>
    </xf>
    <xf numFmtId="0" fontId="35" fillId="0" borderId="0" xfId="0" applyFont="1" applyAlignment="1">
      <alignment horizontal="center"/>
    </xf>
    <xf numFmtId="2" fontId="5" fillId="0" borderId="1" xfId="7" applyNumberFormat="1" applyFont="1" applyBorder="1" applyAlignment="1">
      <alignment vertical="center"/>
    </xf>
    <xf numFmtId="2" fontId="5" fillId="0" borderId="3" xfId="7" applyNumberFormat="1" applyFont="1" applyBorder="1" applyAlignment="1">
      <alignment vertical="center" wrapText="1"/>
    </xf>
    <xf numFmtId="0" fontId="0" fillId="0" borderId="0" xfId="0" applyAlignment="1">
      <alignment horizontal="center" vertical="top"/>
    </xf>
    <xf numFmtId="169" fontId="3" fillId="0" borderId="1" xfId="0" applyNumberFormat="1" applyFont="1" applyBorder="1" applyAlignment="1">
      <alignment vertical="center"/>
    </xf>
    <xf numFmtId="169" fontId="5" fillId="0" borderId="1" xfId="0" applyNumberFormat="1" applyFont="1" applyBorder="1" applyAlignment="1">
      <alignment vertical="center"/>
    </xf>
    <xf numFmtId="169" fontId="3" fillId="0" borderId="1" xfId="0" applyNumberFormat="1" applyFont="1" applyBorder="1" applyAlignment="1">
      <alignment horizontal="right" vertical="center"/>
    </xf>
    <xf numFmtId="2" fontId="43" fillId="0" borderId="17" xfId="0" applyNumberFormat="1" applyFont="1" applyBorder="1" applyAlignment="1">
      <alignment horizontal="right" vertical="top" shrinkToFit="1"/>
    </xf>
    <xf numFmtId="165" fontId="43" fillId="0" borderId="17" xfId="0" applyNumberFormat="1" applyFont="1" applyBorder="1" applyAlignment="1">
      <alignment horizontal="right" vertical="top" shrinkToFit="1"/>
    </xf>
    <xf numFmtId="167" fontId="43" fillId="0" borderId="17" xfId="0" applyNumberFormat="1" applyFont="1" applyBorder="1" applyAlignment="1">
      <alignment horizontal="right" vertical="top" shrinkToFit="1"/>
    </xf>
    <xf numFmtId="168" fontId="43" fillId="0" borderId="17" xfId="0" applyNumberFormat="1" applyFont="1" applyBorder="1" applyAlignment="1">
      <alignment horizontal="right" vertical="top" shrinkToFit="1"/>
    </xf>
    <xf numFmtId="0" fontId="5" fillId="2" borderId="6" xfId="7" applyFont="1" applyFill="1" applyBorder="1" applyAlignment="1">
      <alignment horizontal="center" vertical="center" wrapText="1"/>
    </xf>
    <xf numFmtId="0" fontId="5" fillId="2" borderId="1" xfId="7" applyFont="1" applyFill="1" applyBorder="1" applyAlignment="1">
      <alignment horizontal="center" vertical="top" wrapText="1"/>
    </xf>
    <xf numFmtId="2" fontId="43" fillId="0" borderId="18" xfId="0" applyNumberFormat="1" applyFont="1" applyBorder="1" applyAlignment="1">
      <alignment horizontal="right" vertical="top" shrinkToFit="1"/>
    </xf>
    <xf numFmtId="0" fontId="5" fillId="2" borderId="7" xfId="0" applyFont="1" applyFill="1" applyBorder="1" applyAlignment="1">
      <alignment horizontal="center" vertical="center" wrapText="1"/>
    </xf>
    <xf numFmtId="0" fontId="0" fillId="0" borderId="22" xfId="0" applyBorder="1" applyAlignment="1">
      <alignment vertical="center"/>
    </xf>
    <xf numFmtId="0" fontId="0" fillId="0" borderId="23" xfId="0" applyBorder="1" applyAlignment="1">
      <alignment vertical="center"/>
    </xf>
    <xf numFmtId="0" fontId="0" fillId="0" borderId="22" xfId="0" applyBorder="1"/>
    <xf numFmtId="9" fontId="20" fillId="0" borderId="24" xfId="0" applyNumberFormat="1" applyFont="1" applyBorder="1" applyAlignment="1">
      <alignment horizontal="center" vertical="center" wrapText="1"/>
    </xf>
    <xf numFmtId="0" fontId="20" fillId="0" borderId="24" xfId="0" applyFont="1" applyBorder="1" applyAlignment="1">
      <alignment horizontal="center" vertical="center" wrapText="1"/>
    </xf>
    <xf numFmtId="0" fontId="20" fillId="0" borderId="23" xfId="0" applyFont="1" applyBorder="1" applyAlignment="1">
      <alignment horizontal="center" vertical="center" wrapText="1"/>
    </xf>
    <xf numFmtId="0" fontId="20" fillId="0" borderId="22" xfId="0" applyFont="1" applyBorder="1" applyAlignment="1">
      <alignment vertical="center" wrapText="1"/>
    </xf>
    <xf numFmtId="0" fontId="20" fillId="0" borderId="23" xfId="0" applyFont="1" applyBorder="1" applyAlignment="1">
      <alignment vertical="center" wrapText="1"/>
    </xf>
    <xf numFmtId="0" fontId="0" fillId="0" borderId="23" xfId="0" applyBorder="1" applyAlignment="1">
      <alignment horizontal="right"/>
    </xf>
    <xf numFmtId="0" fontId="0" fillId="0" borderId="36" xfId="0" applyBorder="1" applyAlignment="1">
      <alignment horizontal="center" vertical="center"/>
    </xf>
    <xf numFmtId="0" fontId="0" fillId="0" borderId="34" xfId="0" applyBorder="1" applyAlignment="1">
      <alignment vertical="center"/>
    </xf>
    <xf numFmtId="2" fontId="3" fillId="0" borderId="7" xfId="0" applyNumberFormat="1" applyFont="1" applyBorder="1" applyAlignment="1">
      <alignment vertical="center"/>
    </xf>
    <xf numFmtId="2" fontId="5" fillId="0" borderId="7" xfId="0" applyNumberFormat="1" applyFont="1" applyBorder="1" applyAlignment="1">
      <alignment vertical="center"/>
    </xf>
    <xf numFmtId="2" fontId="3" fillId="0" borderId="24" xfId="0" applyNumberFormat="1" applyFont="1" applyBorder="1" applyAlignment="1">
      <alignment vertical="center"/>
    </xf>
    <xf numFmtId="2" fontId="5" fillId="0" borderId="24" xfId="0" applyNumberFormat="1" applyFont="1" applyBorder="1" applyAlignment="1">
      <alignment vertical="center"/>
    </xf>
    <xf numFmtId="0" fontId="5" fillId="2" borderId="40" xfId="7" applyFont="1" applyFill="1" applyBorder="1" applyAlignment="1">
      <alignment horizontal="center" vertical="center" wrapText="1"/>
    </xf>
    <xf numFmtId="0" fontId="3" fillId="0" borderId="7" xfId="7" applyFont="1" applyBorder="1" applyAlignment="1">
      <alignment vertical="center" wrapText="1"/>
    </xf>
    <xf numFmtId="0" fontId="3" fillId="0" borderId="6" xfId="0" applyFont="1" applyBorder="1" applyAlignment="1">
      <alignment vertical="center"/>
    </xf>
    <xf numFmtId="0" fontId="3" fillId="0" borderId="21" xfId="0" applyFont="1" applyBorder="1" applyAlignment="1">
      <alignment vertical="center"/>
    </xf>
    <xf numFmtId="0" fontId="5" fillId="2" borderId="45" xfId="7" applyFont="1" applyFill="1" applyBorder="1" applyAlignment="1">
      <alignment horizontal="center" vertical="center" wrapText="1"/>
    </xf>
    <xf numFmtId="0" fontId="3" fillId="0" borderId="36" xfId="7" applyFont="1" applyBorder="1" applyAlignment="1">
      <alignment horizontal="center" vertical="center"/>
    </xf>
    <xf numFmtId="0" fontId="3" fillId="0" borderId="47" xfId="7" applyFont="1" applyBorder="1" applyAlignment="1">
      <alignment horizontal="center" vertical="center"/>
    </xf>
    <xf numFmtId="0" fontId="3" fillId="0" borderId="48" xfId="0" applyFont="1" applyBorder="1" applyAlignment="1">
      <alignment vertical="center"/>
    </xf>
    <xf numFmtId="0" fontId="3" fillId="0" borderId="14" xfId="0" applyFont="1" applyBorder="1" applyAlignment="1">
      <alignment vertical="center"/>
    </xf>
    <xf numFmtId="0" fontId="5" fillId="0" borderId="15" xfId="7" applyFont="1" applyBorder="1" applyAlignment="1">
      <alignment vertical="center" wrapText="1"/>
    </xf>
    <xf numFmtId="0" fontId="5" fillId="0" borderId="4" xfId="0" applyFont="1" applyBorder="1" applyAlignment="1">
      <alignment vertical="center"/>
    </xf>
    <xf numFmtId="0" fontId="5" fillId="0" borderId="7" xfId="7" applyFont="1" applyBorder="1" applyAlignment="1">
      <alignment vertical="center"/>
    </xf>
    <xf numFmtId="0" fontId="5" fillId="0" borderId="42" xfId="7" applyFont="1" applyBorder="1" applyAlignment="1">
      <alignment vertical="center" wrapText="1"/>
    </xf>
    <xf numFmtId="0" fontId="5" fillId="0" borderId="50" xfId="0" applyFont="1" applyBorder="1" applyAlignment="1">
      <alignment vertical="center"/>
    </xf>
    <xf numFmtId="0" fontId="5" fillId="0" borderId="24" xfId="7" applyFont="1" applyBorder="1" applyAlignment="1">
      <alignment vertical="center"/>
    </xf>
    <xf numFmtId="0" fontId="3" fillId="0" borderId="22" xfId="7" applyFont="1" applyBorder="1" applyAlignment="1">
      <alignment vertical="center"/>
    </xf>
    <xf numFmtId="0" fontId="12" fillId="0" borderId="22" xfId="7" applyFont="1" applyBorder="1" applyAlignment="1">
      <alignment vertical="center"/>
    </xf>
    <xf numFmtId="0" fontId="3" fillId="0" borderId="35" xfId="0" applyFont="1" applyBorder="1"/>
    <xf numFmtId="0" fontId="3" fillId="0" borderId="41" xfId="7" applyFont="1" applyBorder="1" applyAlignment="1">
      <alignment horizontal="center" vertical="center"/>
    </xf>
    <xf numFmtId="2" fontId="43" fillId="0" borderId="51" xfId="0" applyNumberFormat="1" applyFont="1" applyBorder="1" applyAlignment="1">
      <alignment horizontal="right" vertical="top" shrinkToFit="1"/>
    </xf>
    <xf numFmtId="0" fontId="3" fillId="0" borderId="45" xfId="7" applyFont="1" applyBorder="1" applyAlignment="1">
      <alignment horizontal="center" vertical="center"/>
    </xf>
    <xf numFmtId="2" fontId="43" fillId="0" borderId="52" xfId="0" applyNumberFormat="1" applyFont="1" applyBorder="1" applyAlignment="1">
      <alignment horizontal="right" vertical="top" shrinkToFit="1"/>
    </xf>
    <xf numFmtId="0" fontId="3" fillId="0" borderId="7" xfId="0" applyFont="1" applyBorder="1" applyAlignment="1">
      <alignment horizontal="center" vertical="center" wrapText="1"/>
    </xf>
    <xf numFmtId="0" fontId="2" fillId="0" borderId="7" xfId="0" applyFont="1" applyBorder="1" applyAlignment="1">
      <alignment vertical="center" wrapText="1"/>
    </xf>
    <xf numFmtId="0" fontId="0" fillId="0" borderId="23" xfId="0" applyBorder="1" applyAlignment="1">
      <alignment vertical="center" wrapText="1"/>
    </xf>
    <xf numFmtId="0" fontId="3" fillId="0" borderId="36" xfId="0" applyFont="1" applyBorder="1" applyAlignment="1">
      <alignment vertical="center"/>
    </xf>
    <xf numFmtId="0" fontId="2" fillId="0" borderId="24" xfId="0" applyFont="1" applyBorder="1" applyAlignment="1">
      <alignment vertical="center" wrapText="1"/>
    </xf>
    <xf numFmtId="2" fontId="7" fillId="0" borderId="23" xfId="7" applyNumberFormat="1" applyFont="1" applyBorder="1" applyAlignment="1">
      <alignment horizontal="right" vertical="center"/>
    </xf>
    <xf numFmtId="0" fontId="0" fillId="0" borderId="33" xfId="0" applyBorder="1"/>
    <xf numFmtId="0" fontId="0" fillId="0" borderId="34" xfId="0" applyBorder="1" applyAlignment="1">
      <alignment vertical="center" wrapText="1"/>
    </xf>
    <xf numFmtId="0" fontId="0" fillId="0" borderId="34" xfId="0" applyBorder="1"/>
    <xf numFmtId="0" fontId="0" fillId="0" borderId="35" xfId="0" applyBorder="1" applyAlignment="1">
      <alignment vertical="center" wrapText="1"/>
    </xf>
    <xf numFmtId="0" fontId="3" fillId="0" borderId="41" xfId="0" applyFont="1" applyBorder="1" applyAlignment="1">
      <alignment vertical="center"/>
    </xf>
    <xf numFmtId="43" fontId="3" fillId="0" borderId="3" xfId="0" applyNumberFormat="1" applyFont="1" applyBorder="1" applyAlignment="1">
      <alignment vertical="center"/>
    </xf>
    <xf numFmtId="0" fontId="3" fillId="0" borderId="45" xfId="0" applyFont="1" applyBorder="1" applyAlignment="1">
      <alignment vertical="center"/>
    </xf>
    <xf numFmtId="43" fontId="3" fillId="0" borderId="6" xfId="0" applyNumberFormat="1" applyFont="1" applyBorder="1" applyAlignment="1">
      <alignment vertical="center"/>
    </xf>
    <xf numFmtId="0" fontId="3" fillId="0" borderId="47" xfId="0" applyFont="1" applyBorder="1" applyAlignment="1">
      <alignment vertical="center"/>
    </xf>
    <xf numFmtId="43" fontId="3" fillId="0" borderId="48" xfId="0" applyNumberFormat="1" applyFont="1" applyBorder="1" applyAlignment="1">
      <alignment vertical="center"/>
    </xf>
    <xf numFmtId="0" fontId="3" fillId="0" borderId="22" xfId="4" applyFont="1" applyBorder="1" applyAlignment="1">
      <alignment vertical="center"/>
    </xf>
    <xf numFmtId="0" fontId="3" fillId="0" borderId="6" xfId="0" applyFont="1" applyBorder="1" applyAlignment="1">
      <alignment horizontal="right" vertical="center"/>
    </xf>
    <xf numFmtId="0" fontId="3" fillId="0" borderId="47" xfId="0" applyFont="1" applyBorder="1" applyAlignment="1">
      <alignment horizontal="center" vertical="center"/>
    </xf>
    <xf numFmtId="0" fontId="3" fillId="0" borderId="48" xfId="0" applyFont="1" applyBorder="1" applyAlignment="1">
      <alignment horizontal="right" vertical="center"/>
    </xf>
    <xf numFmtId="0" fontId="3" fillId="0" borderId="7" xfId="0" applyFont="1" applyBorder="1" applyAlignment="1">
      <alignment horizontal="left" vertical="center" wrapText="1"/>
    </xf>
    <xf numFmtId="0" fontId="3" fillId="0" borderId="34" xfId="0" applyFont="1" applyBorder="1" applyAlignment="1">
      <alignment vertical="center"/>
    </xf>
    <xf numFmtId="0" fontId="0" fillId="0" borderId="35" xfId="0" applyBorder="1"/>
    <xf numFmtId="0" fontId="3" fillId="0" borderId="22" xfId="0" applyFont="1" applyBorder="1" applyAlignment="1">
      <alignment horizontal="center" vertical="center"/>
    </xf>
    <xf numFmtId="0" fontId="3" fillId="0" borderId="35" xfId="0" applyFont="1" applyBorder="1" applyAlignment="1">
      <alignment vertical="center"/>
    </xf>
    <xf numFmtId="0" fontId="0" fillId="0" borderId="36" xfId="0" applyBorder="1" applyAlignment="1">
      <alignment horizontal="center" vertical="center" wrapText="1"/>
    </xf>
    <xf numFmtId="44" fontId="2" fillId="0" borderId="24" xfId="0" applyNumberFormat="1" applyFont="1" applyBorder="1" applyAlignment="1">
      <alignment horizontal="left" vertical="center" indent="3"/>
    </xf>
    <xf numFmtId="0" fontId="2" fillId="0" borderId="23" xfId="0" applyFont="1" applyBorder="1" applyAlignment="1">
      <alignment horizontal="left"/>
    </xf>
    <xf numFmtId="0" fontId="0" fillId="0" borderId="22" xfId="0" applyBorder="1" applyAlignment="1">
      <alignment horizontal="left" vertical="center"/>
    </xf>
    <xf numFmtId="0" fontId="0" fillId="0" borderId="23" xfId="0" applyBorder="1"/>
    <xf numFmtId="0" fontId="5" fillId="2" borderId="7" xfId="5" applyFont="1" applyFill="1" applyBorder="1" applyAlignment="1">
      <alignment horizontal="center" vertical="center"/>
    </xf>
    <xf numFmtId="0" fontId="12" fillId="0" borderId="7" xfId="0" applyFont="1" applyBorder="1" applyAlignment="1">
      <alignment vertical="center"/>
    </xf>
    <xf numFmtId="0" fontId="3" fillId="0" borderId="33" xfId="0" applyFont="1" applyBorder="1"/>
    <xf numFmtId="0" fontId="3" fillId="0" borderId="34" xfId="0" applyFont="1" applyBorder="1"/>
    <xf numFmtId="0" fontId="2" fillId="2" borderId="24" xfId="0" applyFont="1" applyFill="1" applyBorder="1" applyAlignment="1">
      <alignment horizontal="center" vertical="center" wrapText="1"/>
    </xf>
    <xf numFmtId="0" fontId="3" fillId="0" borderId="23" xfId="0" applyFont="1" applyBorder="1"/>
    <xf numFmtId="0" fontId="3" fillId="0" borderId="34" xfId="0" applyFont="1" applyBorder="1" applyAlignment="1">
      <alignment horizontal="right"/>
    </xf>
    <xf numFmtId="0" fontId="40" fillId="0" borderId="0" xfId="0" applyFont="1"/>
    <xf numFmtId="0" fontId="9" fillId="0" borderId="0" xfId="0" applyFont="1" applyAlignment="1">
      <alignment vertical="center"/>
    </xf>
    <xf numFmtId="2" fontId="3" fillId="0" borderId="6" xfId="0" applyNumberFormat="1" applyFont="1" applyBorder="1" applyAlignment="1">
      <alignment horizontal="right" vertical="center"/>
    </xf>
    <xf numFmtId="2" fontId="3" fillId="0" borderId="48" xfId="0" applyNumberFormat="1" applyFont="1" applyBorder="1" applyAlignment="1">
      <alignment horizontal="right" vertical="center"/>
    </xf>
    <xf numFmtId="0" fontId="30" fillId="0" borderId="22" xfId="8" applyFont="1" applyBorder="1" applyAlignment="1">
      <alignment horizontal="center" vertical="center" wrapText="1"/>
    </xf>
    <xf numFmtId="0" fontId="25" fillId="0" borderId="45" xfId="73" applyFont="1" applyBorder="1" applyAlignment="1">
      <alignment horizontal="center" vertical="center"/>
    </xf>
    <xf numFmtId="0" fontId="25" fillId="0" borderId="36" xfId="73" applyFont="1" applyBorder="1" applyAlignment="1">
      <alignment horizontal="center" vertical="center"/>
    </xf>
    <xf numFmtId="0" fontId="3" fillId="0" borderId="24" xfId="0" applyFont="1" applyBorder="1" applyAlignment="1">
      <alignment horizontal="left" vertical="center"/>
    </xf>
    <xf numFmtId="0" fontId="5" fillId="0" borderId="36" xfId="0" applyFont="1" applyBorder="1" applyAlignment="1">
      <alignment horizontal="center" vertical="center"/>
    </xf>
    <xf numFmtId="2" fontId="5" fillId="0" borderId="7" xfId="0" applyNumberFormat="1" applyFont="1" applyBorder="1" applyAlignment="1">
      <alignment horizontal="left" vertical="center"/>
    </xf>
    <xf numFmtId="0" fontId="3" fillId="0" borderId="36" xfId="0" applyFont="1" applyBorder="1" applyAlignment="1">
      <alignment horizontal="center" vertical="center" wrapText="1"/>
    </xf>
    <xf numFmtId="2" fontId="5" fillId="0" borderId="24" xfId="0" applyNumberFormat="1" applyFont="1" applyBorder="1" applyAlignment="1">
      <alignment horizontal="left" vertical="center"/>
    </xf>
    <xf numFmtId="2" fontId="5" fillId="0" borderId="23" xfId="0" applyNumberFormat="1" applyFont="1" applyBorder="1" applyAlignment="1">
      <alignment horizontal="left" vertical="center"/>
    </xf>
    <xf numFmtId="0" fontId="26" fillId="0" borderId="33" xfId="0" applyFont="1" applyBorder="1" applyAlignment="1">
      <alignment vertical="center"/>
    </xf>
    <xf numFmtId="0" fontId="26" fillId="0" borderId="34" xfId="0" applyFont="1" applyBorder="1" applyAlignment="1">
      <alignment vertical="center"/>
    </xf>
    <xf numFmtId="0" fontId="26" fillId="0" borderId="34" xfId="0" applyFont="1" applyBorder="1" applyAlignment="1">
      <alignment horizontal="right" vertical="center"/>
    </xf>
    <xf numFmtId="0" fontId="8" fillId="0" borderId="0" xfId="0" applyFont="1" applyAlignment="1">
      <alignment horizontal="center" vertical="top"/>
    </xf>
    <xf numFmtId="2" fontId="0" fillId="0" borderId="2" xfId="0" applyNumberFormat="1" applyBorder="1" applyAlignment="1">
      <alignment horizontal="center" vertical="center"/>
    </xf>
    <xf numFmtId="2" fontId="3" fillId="0" borderId="2" xfId="0" applyNumberFormat="1" applyFont="1" applyBorder="1" applyAlignment="1">
      <alignment horizontal="center" vertical="center"/>
    </xf>
    <xf numFmtId="44" fontId="3" fillId="0" borderId="1" xfId="0" applyNumberFormat="1" applyFont="1" applyBorder="1" applyAlignment="1">
      <alignment horizontal="left" vertical="center" indent="3"/>
    </xf>
    <xf numFmtId="44" fontId="11" fillId="0" borderId="1" xfId="0" applyNumberFormat="1" applyFont="1" applyBorder="1" applyAlignment="1">
      <alignment horizontal="left" vertical="center" indent="3"/>
    </xf>
    <xf numFmtId="0" fontId="3" fillId="0" borderId="2" xfId="0" applyFont="1" applyBorder="1" applyAlignment="1">
      <alignment horizontal="right" vertical="center"/>
    </xf>
    <xf numFmtId="0" fontId="3" fillId="0" borderId="1" xfId="0" applyFont="1" applyBorder="1" applyAlignment="1">
      <alignment horizontal="left" vertical="center" indent="1"/>
    </xf>
    <xf numFmtId="0" fontId="3" fillId="0" borderId="22" xfId="7" applyFont="1" applyBorder="1" applyAlignment="1">
      <alignment vertical="center" wrapText="1"/>
    </xf>
    <xf numFmtId="0" fontId="5" fillId="3" borderId="1" xfId="0" applyFont="1" applyFill="1" applyBorder="1" applyAlignment="1">
      <alignment horizontal="center" vertical="top" wrapText="1"/>
    </xf>
    <xf numFmtId="3" fontId="3" fillId="0" borderId="2" xfId="0" applyNumberFormat="1" applyFont="1" applyBorder="1" applyAlignment="1">
      <alignment vertical="center"/>
    </xf>
    <xf numFmtId="0" fontId="0" fillId="0" borderId="22" xfId="0" applyBorder="1" applyAlignment="1">
      <alignment horizontal="center"/>
    </xf>
    <xf numFmtId="0" fontId="0" fillId="0" borderId="0" xfId="0" applyAlignment="1">
      <alignment horizontal="center"/>
    </xf>
    <xf numFmtId="2" fontId="43" fillId="0" borderId="57" xfId="0" applyNumberFormat="1" applyFont="1" applyBorder="1" applyAlignment="1">
      <alignment horizontal="right" vertical="top" shrinkToFit="1"/>
    </xf>
    <xf numFmtId="165" fontId="43" fillId="0" borderId="57" xfId="0" applyNumberFormat="1" applyFont="1" applyBorder="1" applyAlignment="1">
      <alignment horizontal="right" vertical="top" shrinkToFit="1"/>
    </xf>
    <xf numFmtId="0" fontId="5" fillId="2" borderId="1" xfId="9" applyFont="1" applyFill="1" applyBorder="1" applyAlignment="1">
      <alignment horizontal="center" vertical="center"/>
    </xf>
    <xf numFmtId="43" fontId="3" fillId="0" borderId="2" xfId="0" applyNumberFormat="1" applyFont="1" applyBorder="1" applyAlignment="1">
      <alignment vertical="center"/>
    </xf>
    <xf numFmtId="43" fontId="3" fillId="0" borderId="58" xfId="0" applyNumberFormat="1" applyFont="1" applyBorder="1" applyAlignment="1">
      <alignment vertical="center"/>
    </xf>
    <xf numFmtId="43" fontId="3" fillId="0" borderId="55" xfId="0" applyNumberFormat="1" applyFont="1" applyBorder="1" applyAlignment="1">
      <alignment vertical="center"/>
    </xf>
    <xf numFmtId="43" fontId="3" fillId="0" borderId="56" xfId="0" applyNumberFormat="1" applyFont="1" applyBorder="1" applyAlignment="1">
      <alignment vertical="center"/>
    </xf>
    <xf numFmtId="0" fontId="25" fillId="0" borderId="6" xfId="73" applyFont="1" applyBorder="1" applyAlignment="1">
      <alignment horizontal="center" vertical="center"/>
    </xf>
    <xf numFmtId="2" fontId="25" fillId="0" borderId="6" xfId="73" applyNumberFormat="1" applyFont="1" applyBorder="1" applyAlignment="1">
      <alignment horizontal="right" vertical="center"/>
    </xf>
    <xf numFmtId="2" fontId="25" fillId="0" borderId="6" xfId="73" applyNumberFormat="1" applyFont="1" applyBorder="1" applyAlignment="1">
      <alignment vertical="center"/>
    </xf>
    <xf numFmtId="2" fontId="25" fillId="0" borderId="46" xfId="73" applyNumberFormat="1" applyFont="1" applyBorder="1" applyAlignment="1">
      <alignment horizontal="right" vertical="center"/>
    </xf>
    <xf numFmtId="2" fontId="25" fillId="0" borderId="1" xfId="73" applyNumberFormat="1" applyFont="1" applyBorder="1" applyAlignment="1">
      <alignment horizontal="right" vertical="center"/>
    </xf>
    <xf numFmtId="2" fontId="25" fillId="0" borderId="1" xfId="73" applyNumberFormat="1" applyFont="1" applyBorder="1" applyAlignment="1">
      <alignment vertical="center"/>
    </xf>
    <xf numFmtId="2" fontId="25" fillId="0" borderId="24" xfId="73" applyNumberFormat="1" applyFont="1" applyBorder="1" applyAlignment="1">
      <alignment horizontal="right" vertical="center"/>
    </xf>
    <xf numFmtId="0" fontId="1" fillId="0" borderId="1" xfId="0" applyFont="1" applyBorder="1" applyAlignment="1">
      <alignment vertical="center"/>
    </xf>
    <xf numFmtId="2" fontId="5" fillId="0" borderId="1" xfId="9" applyNumberFormat="1" applyFont="1" applyBorder="1" applyAlignment="1">
      <alignment horizontal="right" vertical="center"/>
    </xf>
    <xf numFmtId="2" fontId="3" fillId="0" borderId="1" xfId="9" applyNumberFormat="1" applyFont="1" applyBorder="1" applyAlignment="1">
      <alignment horizontal="right" vertical="center"/>
    </xf>
    <xf numFmtId="2" fontId="3" fillId="0" borderId="1" xfId="9" applyNumberFormat="1" applyFont="1" applyBorder="1" applyAlignment="1">
      <alignment vertical="center"/>
    </xf>
    <xf numFmtId="2" fontId="3" fillId="0" borderId="2" xfId="9" applyNumberFormat="1" applyFont="1" applyBorder="1" applyAlignment="1">
      <alignment vertical="center"/>
    </xf>
    <xf numFmtId="0" fontId="3" fillId="0" borderId="1" xfId="9" applyFont="1" applyBorder="1" applyAlignment="1">
      <alignment vertical="center" wrapText="1"/>
    </xf>
    <xf numFmtId="2" fontId="3" fillId="0" borderId="6" xfId="9" applyNumberFormat="1" applyFont="1" applyBorder="1" applyAlignment="1">
      <alignment horizontal="right" vertical="center"/>
    </xf>
    <xf numFmtId="2" fontId="3" fillId="0" borderId="6" xfId="9" applyNumberFormat="1" applyFont="1" applyBorder="1" applyAlignment="1">
      <alignment vertical="center"/>
    </xf>
    <xf numFmtId="2" fontId="3" fillId="0" borderId="56" xfId="9" applyNumberFormat="1" applyFont="1" applyBorder="1" applyAlignment="1">
      <alignment vertical="center"/>
    </xf>
    <xf numFmtId="2" fontId="3" fillId="0" borderId="48" xfId="9" applyNumberFormat="1" applyFont="1" applyBorder="1" applyAlignment="1">
      <alignment horizontal="right" vertical="center"/>
    </xf>
    <xf numFmtId="2" fontId="3" fillId="0" borderId="48" xfId="9" applyNumberFormat="1" applyFont="1" applyBorder="1" applyAlignment="1">
      <alignment vertical="center"/>
    </xf>
    <xf numFmtId="2" fontId="3" fillId="0" borderId="55" xfId="9" applyNumberFormat="1" applyFont="1" applyBorder="1" applyAlignment="1">
      <alignment vertical="center"/>
    </xf>
    <xf numFmtId="3" fontId="5" fillId="0" borderId="1" xfId="0" applyNumberFormat="1" applyFont="1" applyBorder="1" applyAlignment="1">
      <alignment vertical="center"/>
    </xf>
    <xf numFmtId="0" fontId="5" fillId="2" borderId="1" xfId="0" applyFont="1" applyFill="1" applyBorder="1" applyAlignment="1">
      <alignment horizontal="center" vertical="top" wrapText="1"/>
    </xf>
    <xf numFmtId="2" fontId="3" fillId="0" borderId="2" xfId="0" applyNumberFormat="1" applyFont="1" applyBorder="1" applyAlignment="1">
      <alignment horizontal="right" vertical="center"/>
    </xf>
    <xf numFmtId="2" fontId="3" fillId="0" borderId="55" xfId="0" applyNumberFormat="1" applyFont="1" applyBorder="1" applyAlignment="1">
      <alignment horizontal="right" vertical="center"/>
    </xf>
    <xf numFmtId="2" fontId="3" fillId="0" borderId="56" xfId="0" applyNumberFormat="1" applyFont="1" applyBorder="1" applyAlignment="1">
      <alignment horizontal="right" vertical="center"/>
    </xf>
    <xf numFmtId="0" fontId="5" fillId="0" borderId="36" xfId="0" applyFont="1" applyBorder="1" applyAlignment="1">
      <alignment vertical="top" wrapText="1"/>
    </xf>
    <xf numFmtId="43" fontId="5" fillId="0" borderId="1" xfId="0" applyNumberFormat="1" applyFont="1" applyBorder="1" applyAlignment="1">
      <alignment vertical="top"/>
    </xf>
    <xf numFmtId="43" fontId="5" fillId="0" borderId="1" xfId="0" applyNumberFormat="1" applyFont="1" applyBorder="1" applyAlignment="1">
      <alignment horizontal="right" vertical="top"/>
    </xf>
    <xf numFmtId="0" fontId="5" fillId="0" borderId="24" xfId="0" applyFont="1" applyBorder="1" applyAlignment="1">
      <alignment horizontal="right" vertical="top"/>
    </xf>
    <xf numFmtId="0" fontId="3" fillId="0" borderId="0" xfId="0" applyFont="1" applyAlignment="1">
      <alignment vertical="top"/>
    </xf>
    <xf numFmtId="0" fontId="5" fillId="2" borderId="36" xfId="0" applyFont="1" applyFill="1" applyBorder="1" applyAlignment="1">
      <alignment horizontal="center" vertical="top"/>
    </xf>
    <xf numFmtId="0" fontId="5" fillId="2" borderId="1" xfId="0" applyFont="1" applyFill="1" applyBorder="1" applyAlignment="1">
      <alignment horizontal="center" vertical="top"/>
    </xf>
    <xf numFmtId="0" fontId="5" fillId="2" borderId="24" xfId="0" applyFont="1" applyFill="1" applyBorder="1" applyAlignment="1">
      <alignment horizontal="center" vertical="top"/>
    </xf>
    <xf numFmtId="0" fontId="3" fillId="2" borderId="0" xfId="0" applyFont="1" applyFill="1" applyAlignment="1">
      <alignment vertical="top"/>
    </xf>
    <xf numFmtId="0" fontId="5" fillId="0" borderId="23" xfId="0" applyFont="1" applyBorder="1" applyAlignment="1">
      <alignment horizontal="left" vertical="top" wrapText="1"/>
    </xf>
    <xf numFmtId="0" fontId="3" fillId="0" borderId="36" xfId="0" applyFont="1" applyBorder="1" applyAlignment="1">
      <alignment vertical="top" wrapText="1"/>
    </xf>
    <xf numFmtId="43" fontId="3" fillId="0" borderId="1" xfId="0" applyNumberFormat="1" applyFont="1" applyBorder="1" applyAlignment="1">
      <alignment vertical="top"/>
    </xf>
    <xf numFmtId="4" fontId="3" fillId="0" borderId="24" xfId="0" applyNumberFormat="1" applyFont="1" applyBorder="1" applyAlignment="1">
      <alignment vertical="top"/>
    </xf>
    <xf numFmtId="4" fontId="5" fillId="0" borderId="24" xfId="0" applyNumberFormat="1" applyFont="1" applyBorder="1" applyAlignment="1">
      <alignment vertical="top"/>
    </xf>
    <xf numFmtId="0" fontId="5" fillId="0" borderId="41" xfId="0" applyFont="1" applyBorder="1" applyAlignment="1">
      <alignment vertical="top" wrapText="1"/>
    </xf>
    <xf numFmtId="0" fontId="5" fillId="0" borderId="3" xfId="0" applyFont="1" applyBorder="1" applyAlignment="1">
      <alignment vertical="top"/>
    </xf>
    <xf numFmtId="2" fontId="5" fillId="0" borderId="3" xfId="0" applyNumberFormat="1" applyFont="1" applyBorder="1" applyAlignment="1">
      <alignment horizontal="right" vertical="top"/>
    </xf>
    <xf numFmtId="0" fontId="5" fillId="0" borderId="3" xfId="0" applyFont="1" applyBorder="1" applyAlignment="1">
      <alignment horizontal="right" vertical="top"/>
    </xf>
    <xf numFmtId="0" fontId="5" fillId="0" borderId="42" xfId="0" applyFont="1" applyBorder="1" applyAlignment="1">
      <alignment horizontal="right" vertical="top"/>
    </xf>
    <xf numFmtId="0" fontId="3" fillId="0" borderId="0" xfId="0" applyFont="1" applyAlignment="1">
      <alignment horizontal="left" vertical="top"/>
    </xf>
    <xf numFmtId="0" fontId="3" fillId="0" borderId="0" xfId="1" applyFont="1" applyAlignment="1">
      <alignment vertical="top" wrapText="1"/>
    </xf>
    <xf numFmtId="0" fontId="5" fillId="2" borderId="45" xfId="0" applyFont="1" applyFill="1" applyBorder="1" applyAlignment="1">
      <alignment horizontal="center" vertical="top"/>
    </xf>
    <xf numFmtId="0" fontId="5" fillId="2" borderId="6" xfId="0" applyFont="1" applyFill="1" applyBorder="1" applyAlignment="1">
      <alignment horizontal="center" vertical="top"/>
    </xf>
    <xf numFmtId="0" fontId="5" fillId="2" borderId="46" xfId="0" applyFont="1" applyFill="1" applyBorder="1" applyAlignment="1">
      <alignment horizontal="center" vertical="top"/>
    </xf>
    <xf numFmtId="43" fontId="5" fillId="0" borderId="24" xfId="0" applyNumberFormat="1" applyFont="1" applyBorder="1" applyAlignment="1">
      <alignment vertical="top"/>
    </xf>
    <xf numFmtId="0" fontId="12" fillId="0" borderId="7" xfId="0" applyFont="1" applyBorder="1" applyAlignment="1">
      <alignment vertical="center" wrapText="1"/>
    </xf>
    <xf numFmtId="0" fontId="25" fillId="0" borderId="0" xfId="0" applyFont="1" applyAlignment="1">
      <alignment vertical="top"/>
    </xf>
    <xf numFmtId="0" fontId="30" fillId="0" borderId="0" xfId="0" applyFont="1" applyAlignment="1">
      <alignment vertical="top"/>
    </xf>
    <xf numFmtId="0" fontId="25" fillId="2" borderId="0" xfId="0" applyFont="1" applyFill="1" applyAlignment="1">
      <alignment horizontal="center" vertical="top"/>
    </xf>
    <xf numFmtId="0" fontId="3" fillId="0" borderId="36" xfId="0" applyFont="1" applyBorder="1" applyAlignment="1">
      <alignment horizontal="center" vertical="top"/>
    </xf>
    <xf numFmtId="0" fontId="3" fillId="0" borderId="1" xfId="9" applyFont="1" applyBorder="1" applyAlignment="1">
      <alignment horizontal="left" vertical="top"/>
    </xf>
    <xf numFmtId="0" fontId="3" fillId="0" borderId="2" xfId="9" applyFont="1" applyBorder="1" applyAlignment="1">
      <alignment horizontal="right" vertical="top"/>
    </xf>
    <xf numFmtId="0" fontId="3" fillId="0" borderId="1" xfId="9" applyFont="1" applyBorder="1" applyAlignment="1">
      <alignment horizontal="right" vertical="top"/>
    </xf>
    <xf numFmtId="0" fontId="5" fillId="0" borderId="1" xfId="9" applyFont="1" applyBorder="1" applyAlignment="1">
      <alignment horizontal="left" vertical="top"/>
    </xf>
    <xf numFmtId="0" fontId="5" fillId="0" borderId="2" xfId="9" applyFont="1" applyBorder="1" applyAlignment="1">
      <alignment horizontal="right" vertical="top"/>
    </xf>
    <xf numFmtId="0" fontId="5" fillId="0" borderId="1" xfId="9" applyFont="1" applyBorder="1" applyAlignment="1">
      <alignment horizontal="right" vertical="top"/>
    </xf>
    <xf numFmtId="0" fontId="3" fillId="0" borderId="22" xfId="0" applyFont="1" applyBorder="1" applyAlignment="1">
      <alignment horizontal="center" vertical="top"/>
    </xf>
    <xf numFmtId="0" fontId="5" fillId="0" borderId="23" xfId="9" applyFont="1" applyBorder="1" applyAlignment="1">
      <alignment horizontal="left" vertical="top"/>
    </xf>
    <xf numFmtId="0" fontId="7" fillId="0" borderId="0" xfId="0" applyFont="1" applyAlignment="1">
      <alignment vertical="top"/>
    </xf>
    <xf numFmtId="0" fontId="3" fillId="0" borderId="22" xfId="9" applyFont="1" applyBorder="1" applyAlignment="1">
      <alignment vertical="top"/>
    </xf>
    <xf numFmtId="0" fontId="3" fillId="0" borderId="23" xfId="9" applyFont="1" applyBorder="1" applyAlignment="1">
      <alignment vertical="top"/>
    </xf>
    <xf numFmtId="0" fontId="3" fillId="0" borderId="22" xfId="9" applyFont="1" applyBorder="1" applyAlignment="1">
      <alignment horizontal="left" vertical="top"/>
    </xf>
    <xf numFmtId="0" fontId="3" fillId="0" borderId="33" xfId="0" applyFont="1" applyBorder="1" applyAlignment="1">
      <alignment vertical="top"/>
    </xf>
    <xf numFmtId="0" fontId="3" fillId="0" borderId="34" xfId="0" applyFont="1" applyBorder="1" applyAlignment="1">
      <alignment vertical="top"/>
    </xf>
    <xf numFmtId="0" fontId="3" fillId="0" borderId="35" xfId="0" applyFont="1" applyBorder="1" applyAlignment="1">
      <alignment vertical="top"/>
    </xf>
    <xf numFmtId="0" fontId="8" fillId="0" borderId="0" xfId="0" applyFont="1" applyAlignment="1">
      <alignment vertical="top"/>
    </xf>
    <xf numFmtId="0" fontId="0" fillId="0" borderId="0" xfId="0" applyAlignment="1">
      <alignment vertical="top"/>
    </xf>
    <xf numFmtId="0" fontId="0" fillId="0" borderId="0" xfId="0" applyAlignment="1">
      <alignment horizontal="left" vertical="top"/>
    </xf>
    <xf numFmtId="0" fontId="0" fillId="0" borderId="0" xfId="0" applyAlignment="1">
      <alignment horizontal="right" vertical="top"/>
    </xf>
    <xf numFmtId="0" fontId="2" fillId="0" borderId="0" xfId="0" applyFont="1" applyAlignment="1">
      <alignment horizontal="center" vertical="top"/>
    </xf>
    <xf numFmtId="0" fontId="5" fillId="0" borderId="0" xfId="0" applyFont="1" applyAlignment="1">
      <alignment horizontal="right" vertical="top"/>
    </xf>
    <xf numFmtId="0" fontId="3" fillId="0" borderId="0" xfId="0" applyFont="1" applyAlignment="1">
      <alignment horizontal="right" vertical="top"/>
    </xf>
    <xf numFmtId="0" fontId="0" fillId="0" borderId="22" xfId="0" applyBorder="1" applyAlignment="1">
      <alignment vertical="top"/>
    </xf>
    <xf numFmtId="0" fontId="3" fillId="0" borderId="23" xfId="0" applyFont="1" applyBorder="1" applyAlignment="1">
      <alignment horizontal="right" vertical="top"/>
    </xf>
    <xf numFmtId="0" fontId="8" fillId="2" borderId="0" xfId="0" applyFont="1" applyFill="1" applyAlignment="1">
      <alignment horizontal="center" vertical="top" wrapText="1"/>
    </xf>
    <xf numFmtId="0" fontId="0" fillId="0" borderId="1" xfId="0" applyBorder="1" applyAlignment="1">
      <alignment horizontal="center" vertical="top"/>
    </xf>
    <xf numFmtId="0" fontId="3" fillId="0" borderId="1" xfId="0" applyFont="1" applyBorder="1" applyAlignment="1">
      <alignment horizontal="left" vertical="top"/>
    </xf>
    <xf numFmtId="1" fontId="0" fillId="0" borderId="1" xfId="0" applyNumberFormat="1" applyBorder="1" applyAlignment="1">
      <alignment vertical="top"/>
    </xf>
    <xf numFmtId="0" fontId="0" fillId="0" borderId="1" xfId="0" applyBorder="1" applyAlignment="1">
      <alignment vertical="top"/>
    </xf>
    <xf numFmtId="41" fontId="0" fillId="0" borderId="1" xfId="0" applyNumberFormat="1" applyBorder="1" applyAlignment="1">
      <alignment vertical="top"/>
    </xf>
    <xf numFmtId="0" fontId="3" fillId="0" borderId="7" xfId="0" applyFont="1" applyBorder="1" applyAlignment="1">
      <alignment horizontal="left" vertical="top"/>
    </xf>
    <xf numFmtId="0" fontId="0" fillId="0" borderId="36" xfId="0" applyBorder="1" applyAlignment="1">
      <alignment horizontal="center" vertical="top"/>
    </xf>
    <xf numFmtId="41" fontId="0" fillId="0" borderId="2" xfId="0" applyNumberFormat="1" applyBorder="1" applyAlignment="1">
      <alignment vertical="top"/>
    </xf>
    <xf numFmtId="0" fontId="0" fillId="2" borderId="0" xfId="0" applyFill="1" applyAlignment="1">
      <alignment vertical="top"/>
    </xf>
    <xf numFmtId="0" fontId="3" fillId="0" borderId="1" xfId="0" applyFont="1" applyBorder="1" applyAlignment="1">
      <alignment vertical="top"/>
    </xf>
    <xf numFmtId="0" fontId="3" fillId="0" borderId="7" xfId="0" applyFont="1" applyBorder="1" applyAlignment="1">
      <alignment vertical="top"/>
    </xf>
    <xf numFmtId="0" fontId="3" fillId="0" borderId="1" xfId="0" applyFont="1" applyBorder="1" applyAlignment="1">
      <alignment vertical="top" wrapText="1"/>
    </xf>
    <xf numFmtId="0" fontId="3" fillId="0" borderId="7" xfId="0" applyFont="1" applyBorder="1" applyAlignment="1">
      <alignment vertical="top" wrapText="1"/>
    </xf>
    <xf numFmtId="0" fontId="3" fillId="0" borderId="1" xfId="0" applyFont="1" applyBorder="1" applyAlignment="1">
      <alignment horizontal="left" vertical="top" wrapText="1"/>
    </xf>
    <xf numFmtId="0" fontId="3" fillId="0" borderId="7" xfId="0" applyFont="1" applyBorder="1" applyAlignment="1">
      <alignment horizontal="left" vertical="top" wrapText="1"/>
    </xf>
    <xf numFmtId="0" fontId="3" fillId="0" borderId="23" xfId="0" applyFont="1" applyBorder="1" applyAlignment="1">
      <alignment vertical="top"/>
    </xf>
    <xf numFmtId="0" fontId="0" fillId="0" borderId="23" xfId="0" applyBorder="1" applyAlignment="1">
      <alignment vertical="top"/>
    </xf>
    <xf numFmtId="0" fontId="0" fillId="0" borderId="33" xfId="0" applyBorder="1" applyAlignment="1">
      <alignment vertical="top"/>
    </xf>
    <xf numFmtId="0" fontId="0" fillId="0" borderId="34" xfId="0" applyBorder="1" applyAlignment="1">
      <alignment vertical="top"/>
    </xf>
    <xf numFmtId="0" fontId="0" fillId="0" borderId="35" xfId="0" applyBorder="1" applyAlignment="1">
      <alignment vertical="top"/>
    </xf>
    <xf numFmtId="0" fontId="20" fillId="0" borderId="0" xfId="0" applyFont="1" applyAlignment="1">
      <alignment vertical="top"/>
    </xf>
    <xf numFmtId="0" fontId="19" fillId="2" borderId="0" xfId="0" applyFont="1" applyFill="1" applyAlignment="1">
      <alignment vertical="top" wrapText="1"/>
    </xf>
    <xf numFmtId="0" fontId="2" fillId="0" borderId="1" xfId="0" applyFont="1" applyBorder="1" applyAlignment="1">
      <alignment horizontal="left" vertical="top"/>
    </xf>
    <xf numFmtId="0" fontId="2" fillId="0" borderId="7" xfId="0" applyFont="1" applyBorder="1" applyAlignment="1">
      <alignment horizontal="left" vertical="top"/>
    </xf>
    <xf numFmtId="0" fontId="2" fillId="0" borderId="24" xfId="0" applyFont="1" applyBorder="1" applyAlignment="1">
      <alignment horizontal="left" vertical="top"/>
    </xf>
    <xf numFmtId="0" fontId="20" fillId="2" borderId="0" xfId="0" applyFont="1" applyFill="1" applyAlignment="1">
      <alignment vertical="top"/>
    </xf>
    <xf numFmtId="0" fontId="0" fillId="0" borderId="1" xfId="0" applyBorder="1" applyAlignment="1">
      <alignment horizontal="right" vertical="top"/>
    </xf>
    <xf numFmtId="0" fontId="0" fillId="0" borderId="1" xfId="25" applyFont="1" applyBorder="1" applyAlignment="1">
      <alignment horizontal="left" vertical="top" wrapText="1"/>
    </xf>
    <xf numFmtId="0" fontId="0" fillId="0" borderId="7" xfId="25" applyFont="1" applyBorder="1" applyAlignment="1">
      <alignment horizontal="left" vertical="top" wrapText="1"/>
    </xf>
    <xf numFmtId="0" fontId="0" fillId="0" borderId="2" xfId="0" applyBorder="1" applyAlignment="1">
      <alignment vertical="top"/>
    </xf>
    <xf numFmtId="2" fontId="0" fillId="0" borderId="1" xfId="0" applyNumberFormat="1" applyBorder="1" applyAlignment="1">
      <alignment horizontal="right" vertical="top"/>
    </xf>
    <xf numFmtId="0" fontId="2" fillId="0" borderId="1" xfId="0" applyFont="1" applyBorder="1" applyAlignment="1">
      <alignment vertical="top"/>
    </xf>
    <xf numFmtId="0" fontId="2" fillId="0" borderId="1" xfId="0" applyFont="1" applyBorder="1" applyAlignment="1">
      <alignment horizontal="right" vertical="top"/>
    </xf>
    <xf numFmtId="1" fontId="2" fillId="0" borderId="1" xfId="0" applyNumberFormat="1" applyFont="1" applyBorder="1" applyAlignment="1">
      <alignment vertical="top"/>
    </xf>
    <xf numFmtId="0" fontId="2" fillId="0" borderId="2" xfId="0" applyFont="1" applyBorder="1" applyAlignment="1">
      <alignment vertical="top"/>
    </xf>
    <xf numFmtId="2" fontId="2" fillId="0" borderId="2" xfId="0" applyNumberFormat="1" applyFont="1" applyBorder="1" applyAlignment="1">
      <alignment vertical="top"/>
    </xf>
    <xf numFmtId="0" fontId="19" fillId="0" borderId="0" xfId="0" applyFont="1" applyAlignment="1">
      <alignment vertical="top"/>
    </xf>
    <xf numFmtId="0" fontId="0" fillId="0" borderId="1" xfId="0" applyBorder="1" applyAlignment="1">
      <alignment horizontal="left" vertical="top"/>
    </xf>
    <xf numFmtId="0" fontId="0" fillId="0" borderId="7" xfId="0" applyBorder="1" applyAlignment="1">
      <alignment horizontal="left" vertical="top"/>
    </xf>
    <xf numFmtId="2" fontId="2" fillId="0" borderId="1" xfId="0" applyNumberFormat="1" applyFont="1" applyBorder="1" applyAlignment="1">
      <alignment vertical="top"/>
    </xf>
    <xf numFmtId="2" fontId="2" fillId="0" borderId="1" xfId="0" applyNumberFormat="1" applyFont="1" applyBorder="1" applyAlignment="1">
      <alignment horizontal="right" vertical="top"/>
    </xf>
    <xf numFmtId="0" fontId="0" fillId="0" borderId="1" xfId="0" applyBorder="1" applyAlignment="1">
      <alignment vertical="top" wrapText="1"/>
    </xf>
    <xf numFmtId="0" fontId="0" fillId="0" borderId="22" xfId="0" applyBorder="1" applyAlignment="1">
      <alignment horizontal="center" vertical="top"/>
    </xf>
    <xf numFmtId="0" fontId="0" fillId="0" borderId="23" xfId="0" applyBorder="1" applyAlignment="1">
      <alignment horizontal="left" vertical="top"/>
    </xf>
    <xf numFmtId="0" fontId="20" fillId="0" borderId="0" xfId="0" applyFont="1" applyAlignment="1">
      <alignment horizontal="left" vertical="top"/>
    </xf>
    <xf numFmtId="0" fontId="20" fillId="0" borderId="0" xfId="0" applyFont="1" applyAlignment="1">
      <alignment horizontal="center" vertical="top"/>
    </xf>
    <xf numFmtId="0" fontId="0" fillId="0" borderId="33" xfId="0" applyBorder="1" applyAlignment="1">
      <alignment horizontal="left" vertical="top"/>
    </xf>
    <xf numFmtId="2" fontId="25" fillId="0" borderId="0" xfId="0" applyNumberFormat="1" applyFont="1" applyAlignment="1">
      <alignment horizontal="right" vertical="center"/>
    </xf>
    <xf numFmtId="2" fontId="0" fillId="0" borderId="0" xfId="0" applyNumberFormat="1" applyAlignment="1">
      <alignment vertical="center"/>
    </xf>
    <xf numFmtId="2" fontId="0" fillId="0" borderId="0" xfId="0" applyNumberFormat="1"/>
    <xf numFmtId="2" fontId="3" fillId="0" borderId="5" xfId="0" applyNumberFormat="1" applyFont="1" applyBorder="1" applyAlignment="1">
      <alignment vertical="center"/>
    </xf>
    <xf numFmtId="2" fontId="2" fillId="0" borderId="0" xfId="0" applyNumberFormat="1" applyFont="1" applyAlignment="1">
      <alignment horizontal="center" vertical="top"/>
    </xf>
    <xf numFmtId="2" fontId="30" fillId="0" borderId="0" xfId="0" applyNumberFormat="1" applyFont="1" applyAlignment="1">
      <alignment vertical="top"/>
    </xf>
    <xf numFmtId="2" fontId="3" fillId="0" borderId="0" xfId="0" applyNumberFormat="1" applyFont="1" applyAlignment="1">
      <alignment vertical="top"/>
    </xf>
    <xf numFmtId="2" fontId="10" fillId="0" borderId="0" xfId="0" applyNumberFormat="1" applyFont="1" applyAlignment="1">
      <alignment vertical="center"/>
    </xf>
    <xf numFmtId="2" fontId="8" fillId="0" borderId="0" xfId="0" applyNumberFormat="1" applyFont="1" applyAlignment="1">
      <alignment horizontal="center" vertical="center"/>
    </xf>
    <xf numFmtId="0" fontId="3" fillId="0" borderId="0" xfId="0" applyFont="1" applyAlignment="1">
      <alignment horizontal="left" vertical="center" wrapText="1"/>
    </xf>
    <xf numFmtId="0" fontId="0" fillId="0" borderId="0" xfId="0" applyAlignment="1">
      <alignment horizontal="left"/>
    </xf>
    <xf numFmtId="0" fontId="8" fillId="0" borderId="0" xfId="0" applyFont="1" applyAlignment="1">
      <alignment horizontal="center" vertical="center" wrapText="1"/>
    </xf>
    <xf numFmtId="0" fontId="3" fillId="0" borderId="0" xfId="0" applyFont="1" applyAlignment="1">
      <alignment horizontal="left" vertical="center"/>
    </xf>
    <xf numFmtId="0" fontId="5" fillId="0" borderId="0" xfId="0" applyFont="1" applyAlignment="1">
      <alignment horizontal="right" vertical="center"/>
    </xf>
    <xf numFmtId="0" fontId="6" fillId="0" borderId="0" xfId="0" applyFont="1"/>
    <xf numFmtId="0" fontId="6" fillId="0" borderId="0" xfId="0" applyFont="1" applyAlignment="1">
      <alignment horizontal="left"/>
    </xf>
    <xf numFmtId="0" fontId="6" fillId="0" borderId="0" xfId="0" applyFont="1" applyAlignment="1">
      <alignment wrapText="1"/>
    </xf>
    <xf numFmtId="0" fontId="6" fillId="0" borderId="0" xfId="0" applyFont="1" applyAlignment="1">
      <alignment horizontal="center"/>
    </xf>
    <xf numFmtId="0" fontId="6" fillId="0" borderId="0" xfId="0" applyFont="1" applyAlignment="1">
      <alignment vertical="center"/>
    </xf>
    <xf numFmtId="0" fontId="3" fillId="0" borderId="23" xfId="0" applyFont="1" applyBorder="1" applyAlignment="1">
      <alignment horizontal="left" vertical="center"/>
    </xf>
    <xf numFmtId="0" fontId="26" fillId="0" borderId="22" xfId="0" applyFont="1" applyBorder="1" applyAlignment="1">
      <alignment horizontal="left" vertical="center"/>
    </xf>
    <xf numFmtId="0" fontId="5" fillId="0" borderId="23" xfId="0" applyFont="1" applyBorder="1" applyAlignment="1">
      <alignment vertical="center"/>
    </xf>
    <xf numFmtId="0" fontId="5" fillId="0" borderId="22" xfId="0" applyFont="1" applyBorder="1" applyAlignment="1">
      <alignment horizontal="left" vertical="center" wrapText="1"/>
    </xf>
    <xf numFmtId="0" fontId="5" fillId="0" borderId="1" xfId="0" applyFont="1" applyBorder="1" applyAlignment="1">
      <alignment vertical="top"/>
    </xf>
    <xf numFmtId="3" fontId="5" fillId="0" borderId="1" xfId="0" applyNumberFormat="1" applyFont="1" applyBorder="1" applyAlignment="1">
      <alignment horizontal="right" vertical="center"/>
    </xf>
    <xf numFmtId="3" fontId="3" fillId="0" borderId="1" xfId="0" applyNumberFormat="1" applyFont="1" applyBorder="1" applyAlignment="1">
      <alignment horizontal="right" vertical="center"/>
    </xf>
    <xf numFmtId="3" fontId="3" fillId="0" borderId="1" xfId="0" applyNumberFormat="1" applyFont="1" applyBorder="1" applyAlignment="1">
      <alignment vertical="center"/>
    </xf>
    <xf numFmtId="0" fontId="3" fillId="0" borderId="50" xfId="0" applyFont="1" applyBorder="1" applyAlignment="1">
      <alignment horizontal="left" vertical="top"/>
    </xf>
    <xf numFmtId="0" fontId="5" fillId="0" borderId="4" xfId="0" applyFont="1" applyBorder="1" applyAlignment="1">
      <alignment vertical="center" wrapText="1"/>
    </xf>
    <xf numFmtId="0" fontId="25" fillId="0" borderId="4" xfId="0" applyFont="1" applyBorder="1" applyAlignment="1">
      <alignment vertical="center"/>
    </xf>
    <xf numFmtId="0" fontId="3" fillId="0" borderId="4" xfId="0" applyFont="1" applyBorder="1" applyAlignment="1">
      <alignment horizontal="left" vertical="top"/>
    </xf>
    <xf numFmtId="0" fontId="5" fillId="0" borderId="37" xfId="0" applyFont="1" applyBorder="1" applyAlignment="1">
      <alignment vertical="center" wrapText="1"/>
    </xf>
    <xf numFmtId="0" fontId="5" fillId="0" borderId="22" xfId="0" applyFont="1" applyBorder="1" applyAlignment="1">
      <alignment horizontal="center" vertical="center" wrapText="1"/>
    </xf>
    <xf numFmtId="0" fontId="3" fillId="0" borderId="0" xfId="5" applyFont="1" applyAlignment="1">
      <alignment vertical="center"/>
    </xf>
    <xf numFmtId="0" fontId="3" fillId="0" borderId="0" xfId="5" applyFont="1" applyAlignment="1">
      <alignment horizontal="center" vertical="center"/>
    </xf>
    <xf numFmtId="1" fontId="3" fillId="0" borderId="0" xfId="5" applyNumberFormat="1" applyFont="1" applyAlignment="1">
      <alignment vertical="center"/>
    </xf>
    <xf numFmtId="0" fontId="3" fillId="0" borderId="14" xfId="5" applyFont="1" applyBorder="1" applyAlignment="1">
      <alignment vertical="center"/>
    </xf>
    <xf numFmtId="0" fontId="36" fillId="0" borderId="0" xfId="0" applyFont="1"/>
    <xf numFmtId="0" fontId="3" fillId="0" borderId="35" xfId="4" applyFont="1" applyBorder="1" applyAlignment="1">
      <alignment vertical="center" wrapText="1"/>
    </xf>
    <xf numFmtId="0" fontId="3" fillId="0" borderId="34" xfId="4" applyFont="1" applyBorder="1" applyAlignment="1">
      <alignment vertical="center" wrapText="1"/>
    </xf>
    <xf numFmtId="1" fontId="3" fillId="0" borderId="34" xfId="4" applyNumberFormat="1" applyFont="1" applyBorder="1" applyAlignment="1">
      <alignment horizontal="left" vertical="center" wrapText="1"/>
    </xf>
    <xf numFmtId="1" fontId="3" fillId="0" borderId="34" xfId="4" applyNumberFormat="1" applyFont="1" applyBorder="1" applyAlignment="1">
      <alignment horizontal="right" vertical="center" wrapText="1"/>
    </xf>
    <xf numFmtId="0" fontId="3" fillId="0" borderId="34" xfId="4" applyFont="1" applyBorder="1" applyAlignment="1">
      <alignment vertical="center"/>
    </xf>
    <xf numFmtId="0" fontId="3" fillId="0" borderId="23" xfId="5" applyFont="1" applyBorder="1" applyAlignment="1">
      <alignment vertical="center"/>
    </xf>
    <xf numFmtId="0" fontId="5" fillId="0" borderId="0" xfId="5" applyFont="1" applyAlignment="1">
      <alignment vertical="center"/>
    </xf>
    <xf numFmtId="0" fontId="5" fillId="0" borderId="23" xfId="4" applyFont="1" applyBorder="1" applyAlignment="1">
      <alignment horizontal="center" vertical="center"/>
    </xf>
    <xf numFmtId="0" fontId="5" fillId="0" borderId="22" xfId="5" applyFont="1" applyBorder="1" applyAlignment="1">
      <alignment horizontal="center" vertical="center"/>
    </xf>
    <xf numFmtId="41" fontId="5" fillId="0" borderId="1" xfId="4" applyNumberFormat="1" applyFont="1" applyBorder="1" applyAlignment="1">
      <alignment horizontal="right" vertical="center"/>
    </xf>
    <xf numFmtId="41" fontId="3" fillId="0" borderId="1" xfId="4" applyNumberFormat="1" applyFont="1" applyBorder="1" applyAlignment="1">
      <alignment horizontal="right" vertical="center"/>
    </xf>
    <xf numFmtId="41" fontId="1" fillId="0" borderId="1" xfId="4" applyNumberFormat="1" applyBorder="1" applyAlignment="1">
      <alignment horizontal="right" vertical="center"/>
    </xf>
    <xf numFmtId="0" fontId="3" fillId="0" borderId="24" xfId="4" applyFont="1" applyBorder="1" applyAlignment="1">
      <alignment horizontal="center" vertical="center"/>
    </xf>
    <xf numFmtId="41" fontId="3" fillId="0" borderId="2" xfId="4" applyNumberFormat="1" applyFont="1" applyBorder="1" applyAlignment="1">
      <alignment horizontal="right" vertical="center"/>
    </xf>
    <xf numFmtId="41" fontId="5" fillId="0" borderId="2" xfId="4" applyNumberFormat="1" applyFont="1" applyBorder="1" applyAlignment="1">
      <alignment horizontal="right" vertical="center"/>
    </xf>
    <xf numFmtId="41" fontId="3" fillId="0" borderId="6" xfId="4" applyNumberFormat="1" applyFont="1" applyBorder="1" applyAlignment="1">
      <alignment horizontal="right" vertical="center"/>
    </xf>
    <xf numFmtId="41" fontId="3" fillId="0" borderId="56" xfId="4" applyNumberFormat="1" applyFont="1" applyBorder="1" applyAlignment="1">
      <alignment horizontal="right" vertical="center"/>
    </xf>
    <xf numFmtId="41" fontId="5" fillId="0" borderId="48" xfId="4" applyNumberFormat="1" applyFont="1" applyBorder="1" applyAlignment="1">
      <alignment horizontal="right" vertical="center"/>
    </xf>
    <xf numFmtId="41" fontId="5" fillId="0" borderId="55" xfId="4" applyNumberFormat="1" applyFont="1" applyBorder="1" applyAlignment="1">
      <alignment horizontal="right" vertical="center"/>
    </xf>
    <xf numFmtId="0" fontId="5" fillId="2" borderId="0" xfId="5" applyFont="1" applyFill="1" applyAlignment="1">
      <alignment horizontal="center" vertical="center"/>
    </xf>
    <xf numFmtId="0" fontId="5" fillId="2" borderId="24" xfId="5" applyFont="1" applyFill="1" applyBorder="1" applyAlignment="1">
      <alignment horizontal="center" vertical="center"/>
    </xf>
    <xf numFmtId="0" fontId="5" fillId="2" borderId="1" xfId="4" quotePrefix="1" applyFont="1" applyFill="1" applyBorder="1" applyAlignment="1">
      <alignment horizontal="center" vertical="center"/>
    </xf>
    <xf numFmtId="0" fontId="5" fillId="2" borderId="2" xfId="4" quotePrefix="1" applyFont="1" applyFill="1" applyBorder="1" applyAlignment="1">
      <alignment horizontal="center" vertical="center"/>
    </xf>
    <xf numFmtId="0" fontId="3" fillId="0" borderId="22" xfId="5" applyFont="1" applyBorder="1" applyAlignment="1">
      <alignment vertical="center"/>
    </xf>
    <xf numFmtId="0" fontId="46" fillId="0" borderId="0" xfId="0" applyFont="1" applyAlignment="1">
      <alignment vertical="center"/>
    </xf>
    <xf numFmtId="0" fontId="46" fillId="0" borderId="0" xfId="0" applyFont="1" applyAlignment="1">
      <alignment horizontal="center" vertical="center"/>
    </xf>
    <xf numFmtId="0" fontId="46" fillId="0" borderId="14" xfId="0" applyFont="1" applyBorder="1" applyAlignment="1">
      <alignment horizontal="left" vertical="center"/>
    </xf>
    <xf numFmtId="0" fontId="46" fillId="0" borderId="0" xfId="0" applyFont="1" applyAlignment="1">
      <alignment horizontal="left" vertical="center"/>
    </xf>
    <xf numFmtId="2" fontId="5" fillId="0" borderId="0" xfId="0" applyNumberFormat="1" applyFont="1" applyAlignment="1">
      <alignment vertical="center"/>
    </xf>
    <xf numFmtId="0" fontId="5" fillId="0" borderId="35" xfId="0" applyFont="1" applyBorder="1" applyAlignment="1">
      <alignment horizontal="center" vertical="center"/>
    </xf>
    <xf numFmtId="0" fontId="5" fillId="0" borderId="34" xfId="0" applyFont="1" applyBorder="1" applyAlignment="1">
      <alignment horizontal="center" vertical="center"/>
    </xf>
    <xf numFmtId="2" fontId="5" fillId="0" borderId="34" xfId="0" applyNumberFormat="1" applyFont="1" applyBorder="1" applyAlignment="1">
      <alignment vertical="center"/>
    </xf>
    <xf numFmtId="0" fontId="5" fillId="0" borderId="34" xfId="0" applyFont="1" applyBorder="1" applyAlignment="1">
      <alignment vertical="center"/>
    </xf>
    <xf numFmtId="0" fontId="3" fillId="0" borderId="33" xfId="0" applyFont="1" applyBorder="1" applyAlignment="1">
      <alignment vertical="center"/>
    </xf>
    <xf numFmtId="0" fontId="5" fillId="0" borderId="23" xfId="0" applyFont="1" applyBorder="1" applyAlignment="1">
      <alignment horizontal="center" vertical="center"/>
    </xf>
    <xf numFmtId="0" fontId="5" fillId="0" borderId="22" xfId="0" applyFont="1" applyBorder="1" applyAlignment="1">
      <alignment horizontal="center" vertical="center"/>
    </xf>
    <xf numFmtId="170" fontId="5" fillId="0" borderId="1" xfId="0" applyNumberFormat="1" applyFont="1" applyBorder="1" applyAlignment="1">
      <alignment vertical="center"/>
    </xf>
    <xf numFmtId="0" fontId="47" fillId="0" borderId="0" xfId="0" applyFont="1" applyAlignment="1">
      <alignment vertical="center"/>
    </xf>
    <xf numFmtId="170" fontId="3" fillId="0" borderId="2" xfId="0" applyNumberFormat="1" applyFont="1" applyBorder="1" applyAlignment="1">
      <alignment vertical="center"/>
    </xf>
    <xf numFmtId="170" fontId="3" fillId="0" borderId="1" xfId="0" applyNumberFormat="1" applyFont="1" applyBorder="1" applyAlignment="1">
      <alignment vertical="center"/>
    </xf>
    <xf numFmtId="170" fontId="48" fillId="0" borderId="1" xfId="0" applyNumberFormat="1" applyFont="1" applyBorder="1" applyAlignment="1">
      <alignment vertical="center"/>
    </xf>
    <xf numFmtId="0" fontId="46" fillId="2" borderId="0" xfId="0" applyFont="1" applyFill="1" applyAlignment="1">
      <alignment horizontal="center" vertical="center"/>
    </xf>
    <xf numFmtId="0" fontId="3" fillId="0" borderId="0" xfId="0" applyFont="1" applyAlignment="1">
      <alignment horizontal="left"/>
    </xf>
    <xf numFmtId="165" fontId="3" fillId="0" borderId="0" xfId="0" applyNumberFormat="1" applyFont="1" applyAlignment="1">
      <alignment vertical="center"/>
    </xf>
    <xf numFmtId="0" fontId="5" fillId="0" borderId="24" xfId="0" applyFont="1" applyBorder="1" applyAlignment="1">
      <alignment horizontal="center" vertical="center"/>
    </xf>
    <xf numFmtId="0" fontId="3" fillId="0" borderId="24" xfId="0" applyFont="1" applyBorder="1" applyAlignment="1">
      <alignment horizontal="center" vertical="center"/>
    </xf>
    <xf numFmtId="2" fontId="5" fillId="0" borderId="1" xfId="5" applyNumberFormat="1" applyFont="1" applyBorder="1" applyAlignment="1">
      <alignment vertical="center"/>
    </xf>
    <xf numFmtId="2" fontId="3" fillId="0" borderId="1" xfId="5" applyNumberFormat="1" applyFont="1" applyBorder="1" applyAlignment="1">
      <alignment vertical="center"/>
    </xf>
    <xf numFmtId="165" fontId="5" fillId="0" borderId="1" xfId="0" applyNumberFormat="1" applyFont="1" applyBorder="1" applyAlignment="1">
      <alignment horizontal="right" vertical="center"/>
    </xf>
    <xf numFmtId="0" fontId="3" fillId="0" borderId="43" xfId="0" applyFont="1" applyBorder="1" applyAlignment="1">
      <alignment horizontal="left" vertical="center"/>
    </xf>
    <xf numFmtId="0" fontId="3" fillId="0" borderId="24" xfId="0" applyFont="1" applyBorder="1" applyAlignment="1">
      <alignment vertical="top"/>
    </xf>
    <xf numFmtId="0" fontId="3" fillId="0" borderId="45" xfId="0" applyFont="1" applyBorder="1" applyAlignment="1">
      <alignment horizontal="left" vertical="center"/>
    </xf>
    <xf numFmtId="0" fontId="3" fillId="0" borderId="1" xfId="0" applyFont="1" applyBorder="1" applyAlignment="1">
      <alignment horizontal="right" vertical="center" wrapText="1"/>
    </xf>
    <xf numFmtId="165" fontId="3" fillId="0" borderId="1" xfId="0" applyNumberFormat="1" applyFont="1" applyBorder="1" applyAlignment="1">
      <alignment horizontal="right" vertical="center" wrapText="1"/>
    </xf>
    <xf numFmtId="0" fontId="3" fillId="0" borderId="38" xfId="0" applyFont="1" applyBorder="1" applyAlignment="1">
      <alignment horizontal="left" vertical="center"/>
    </xf>
    <xf numFmtId="0" fontId="3" fillId="0" borderId="53" xfId="0" applyFont="1" applyBorder="1" applyAlignment="1">
      <alignment horizontal="left" vertical="center"/>
    </xf>
    <xf numFmtId="0" fontId="3" fillId="2" borderId="0" xfId="0" applyFont="1" applyFill="1" applyAlignment="1">
      <alignment horizontal="center" vertical="top"/>
    </xf>
    <xf numFmtId="0" fontId="5" fillId="2" borderId="8" xfId="0" applyFont="1" applyFill="1" applyBorder="1" applyAlignment="1">
      <alignment horizontal="center" vertical="center" wrapText="1"/>
    </xf>
    <xf numFmtId="0" fontId="5" fillId="2" borderId="6" xfId="0" applyFont="1" applyFill="1" applyBorder="1" applyAlignment="1">
      <alignment horizontal="left" vertical="center" wrapText="1"/>
    </xf>
    <xf numFmtId="0" fontId="3" fillId="0" borderId="5" xfId="0" applyFont="1" applyBorder="1" applyAlignment="1">
      <alignment horizontal="left" vertical="center"/>
    </xf>
    <xf numFmtId="0" fontId="7" fillId="0" borderId="0" xfId="5" applyFont="1" applyAlignment="1">
      <alignment vertical="center"/>
    </xf>
    <xf numFmtId="0" fontId="7" fillId="0" borderId="0" xfId="5" applyFont="1" applyAlignment="1">
      <alignment horizontal="left" vertical="center"/>
    </xf>
    <xf numFmtId="165" fontId="7" fillId="0" borderId="0" xfId="5" applyNumberFormat="1" applyFont="1" applyAlignment="1">
      <alignment vertical="center"/>
    </xf>
    <xf numFmtId="0" fontId="7" fillId="0" borderId="35" xfId="5" applyFont="1" applyBorder="1" applyAlignment="1">
      <alignment horizontal="left" vertical="center"/>
    </xf>
    <xf numFmtId="0" fontId="7" fillId="0" borderId="34" xfId="5" applyFont="1" applyBorder="1" applyAlignment="1">
      <alignment vertical="center"/>
    </xf>
    <xf numFmtId="0" fontId="7" fillId="0" borderId="34" xfId="5" quotePrefix="1" applyFont="1" applyBorder="1" applyAlignment="1">
      <alignment vertical="center"/>
    </xf>
    <xf numFmtId="0" fontId="36" fillId="0" borderId="33" xfId="0" applyFont="1" applyBorder="1"/>
    <xf numFmtId="0" fontId="3" fillId="0" borderId="23" xfId="5" applyFont="1" applyBorder="1" applyAlignment="1">
      <alignment horizontal="left" vertical="center"/>
    </xf>
    <xf numFmtId="0" fontId="26" fillId="0" borderId="0" xfId="5" applyFont="1" applyAlignment="1">
      <alignment horizontal="left" vertical="center"/>
    </xf>
    <xf numFmtId="0" fontId="5" fillId="0" borderId="23" xfId="5" applyFont="1" applyBorder="1" applyAlignment="1">
      <alignment horizontal="left" vertical="center"/>
    </xf>
    <xf numFmtId="0" fontId="5" fillId="0" borderId="22" xfId="5" applyFont="1" applyBorder="1" applyAlignment="1">
      <alignment horizontal="left" vertical="center"/>
    </xf>
    <xf numFmtId="2" fontId="5" fillId="0" borderId="1" xfId="5" applyNumberFormat="1" applyFont="1" applyBorder="1" applyAlignment="1">
      <alignment horizontal="right" vertical="center"/>
    </xf>
    <xf numFmtId="2" fontId="3" fillId="0" borderId="2" xfId="5" applyNumberFormat="1" applyFont="1" applyBorder="1" applyAlignment="1">
      <alignment horizontal="right" vertical="center"/>
    </xf>
    <xf numFmtId="2" fontId="3" fillId="0" borderId="1" xfId="5" applyNumberFormat="1" applyFont="1" applyBorder="1" applyAlignment="1">
      <alignment horizontal="right" vertical="center"/>
    </xf>
    <xf numFmtId="0" fontId="3" fillId="0" borderId="1" xfId="5" applyFont="1" applyBorder="1" applyAlignment="1">
      <alignment horizontal="right" vertical="center"/>
    </xf>
    <xf numFmtId="165" fontId="3" fillId="0" borderId="1" xfId="5" applyNumberFormat="1" applyFont="1" applyBorder="1" applyAlignment="1">
      <alignment horizontal="right" vertical="center"/>
    </xf>
    <xf numFmtId="0" fontId="5" fillId="0" borderId="50" xfId="5" applyFont="1" applyBorder="1" applyAlignment="1">
      <alignment horizontal="left" vertical="center"/>
    </xf>
    <xf numFmtId="2" fontId="3" fillId="0" borderId="56" xfId="5" applyNumberFormat="1" applyFont="1" applyBorder="1" applyAlignment="1">
      <alignment horizontal="right" vertical="center"/>
    </xf>
    <xf numFmtId="0" fontId="7" fillId="2" borderId="0" xfId="5" applyFont="1" applyFill="1" applyAlignment="1">
      <alignment vertical="center"/>
    </xf>
    <xf numFmtId="0" fontId="5" fillId="2" borderId="24" xfId="5" applyFont="1" applyFill="1" applyBorder="1" applyAlignment="1">
      <alignment horizontal="left" vertical="center"/>
    </xf>
    <xf numFmtId="0" fontId="5" fillId="2" borderId="1" xfId="5" applyFont="1" applyFill="1" applyBorder="1" applyAlignment="1">
      <alignment horizontal="center" vertical="center" wrapText="1"/>
    </xf>
    <xf numFmtId="0" fontId="5" fillId="2" borderId="36" xfId="5" applyFont="1" applyFill="1" applyBorder="1" applyAlignment="1">
      <alignment horizontal="left" vertical="center"/>
    </xf>
    <xf numFmtId="0" fontId="3" fillId="0" borderId="0" xfId="0" applyFont="1" applyAlignment="1">
      <alignment horizontal="center"/>
    </xf>
    <xf numFmtId="0" fontId="7" fillId="0" borderId="35" xfId="5" quotePrefix="1" applyFont="1" applyBorder="1" applyAlignment="1">
      <alignment vertical="center"/>
    </xf>
    <xf numFmtId="0" fontId="3" fillId="0" borderId="23" xfId="0" applyFont="1" applyBorder="1" applyAlignment="1">
      <alignment horizontal="center" vertical="center"/>
    </xf>
    <xf numFmtId="166" fontId="3" fillId="0" borderId="1" xfId="0" applyNumberFormat="1" applyFont="1" applyBorder="1" applyAlignment="1">
      <alignment horizontal="right" vertical="center"/>
    </xf>
    <xf numFmtId="166" fontId="5" fillId="0" borderId="1" xfId="0" applyNumberFormat="1" applyFont="1" applyBorder="1" applyAlignment="1">
      <alignment horizontal="right" vertical="center"/>
    </xf>
    <xf numFmtId="0" fontId="5" fillId="2" borderId="0" xfId="0" applyFont="1" applyFill="1" applyAlignment="1">
      <alignment horizontal="center" vertical="center"/>
    </xf>
    <xf numFmtId="2" fontId="51" fillId="5" borderId="1" xfId="80" applyNumberFormat="1" applyFont="1" applyFill="1" applyBorder="1"/>
    <xf numFmtId="2" fontId="51" fillId="5" borderId="1" xfId="79" applyNumberFormat="1" applyFont="1" applyFill="1" applyBorder="1" applyAlignment="1">
      <alignment horizontal="right"/>
    </xf>
    <xf numFmtId="2" fontId="3" fillId="0" borderId="1" xfId="79" applyNumberFormat="1" applyFont="1" applyBorder="1" applyAlignment="1">
      <alignment horizontal="right" vertical="center"/>
    </xf>
    <xf numFmtId="0" fontId="3" fillId="0" borderId="1" xfId="79" applyFont="1" applyBorder="1" applyAlignment="1">
      <alignment horizontal="center" vertical="center"/>
    </xf>
    <xf numFmtId="2" fontId="51" fillId="5" borderId="1" xfId="0" applyNumberFormat="1" applyFont="1" applyFill="1" applyBorder="1"/>
    <xf numFmtId="165" fontId="5" fillId="0" borderId="2" xfId="79" applyNumberFormat="1" applyFont="1" applyBorder="1" applyAlignment="1">
      <alignment horizontal="left" vertical="center"/>
    </xf>
    <xf numFmtId="165" fontId="5" fillId="0" borderId="1" xfId="79" applyNumberFormat="1" applyFont="1" applyBorder="1" applyAlignment="1">
      <alignment horizontal="left" vertical="center"/>
    </xf>
    <xf numFmtId="0" fontId="5" fillId="0" borderId="1" xfId="79" applyFont="1" applyBorder="1" applyAlignment="1">
      <alignment horizontal="left" vertical="center"/>
    </xf>
    <xf numFmtId="2" fontId="51" fillId="0" borderId="1" xfId="81" applyNumberFormat="1" applyFont="1" applyBorder="1"/>
    <xf numFmtId="2" fontId="3" fillId="0" borderId="1" xfId="79" applyNumberFormat="1" applyFont="1" applyBorder="1" applyAlignment="1">
      <alignment vertical="center"/>
    </xf>
    <xf numFmtId="2" fontId="51" fillId="5" borderId="1" xfId="0" applyNumberFormat="1" applyFont="1" applyFill="1" applyBorder="1" applyAlignment="1">
      <alignment horizontal="right"/>
    </xf>
    <xf numFmtId="165" fontId="3" fillId="0" borderId="1" xfId="79" applyNumberFormat="1" applyFont="1" applyBorder="1" applyAlignment="1">
      <alignment horizontal="center" vertical="center"/>
    </xf>
    <xf numFmtId="2" fontId="3" fillId="0" borderId="1" xfId="0" applyNumberFormat="1" applyFont="1" applyBorder="1" applyAlignment="1">
      <alignment vertical="top"/>
    </xf>
    <xf numFmtId="2" fontId="3" fillId="0" borderId="1" xfId="79" applyNumberFormat="1" applyFont="1" applyBorder="1" applyAlignment="1">
      <alignment horizontal="right" vertical="top"/>
    </xf>
    <xf numFmtId="2" fontId="3" fillId="0" borderId="1" xfId="79" applyNumberFormat="1" applyFont="1" applyBorder="1" applyAlignment="1">
      <alignment vertical="top"/>
    </xf>
    <xf numFmtId="165" fontId="3" fillId="0" borderId="1" xfId="79" applyNumberFormat="1" applyFont="1" applyBorder="1" applyAlignment="1">
      <alignment horizontal="center" vertical="top"/>
    </xf>
    <xf numFmtId="2" fontId="3" fillId="0" borderId="1" xfId="80" applyNumberFormat="1" applyFont="1" applyBorder="1" applyAlignment="1">
      <alignment vertical="center"/>
    </xf>
    <xf numFmtId="165" fontId="5" fillId="2" borderId="1" xfId="0" applyNumberFormat="1" applyFont="1" applyFill="1" applyBorder="1" applyAlignment="1">
      <alignment horizontal="center" vertical="center"/>
    </xf>
    <xf numFmtId="165" fontId="5" fillId="2" borderId="1" xfId="80" applyNumberFormat="1" applyFont="1" applyFill="1" applyBorder="1" applyAlignment="1">
      <alignment horizontal="center" vertical="center"/>
    </xf>
    <xf numFmtId="165" fontId="5" fillId="2" borderId="1" xfId="79" applyNumberFormat="1" applyFont="1" applyFill="1" applyBorder="1" applyAlignment="1">
      <alignment horizontal="center" vertical="center"/>
    </xf>
    <xf numFmtId="0" fontId="5" fillId="2" borderId="36" xfId="79" applyFont="1" applyFill="1" applyBorder="1" applyAlignment="1">
      <alignment horizontal="center" vertical="center"/>
    </xf>
    <xf numFmtId="0" fontId="3" fillId="0" borderId="0" xfId="5" applyFont="1"/>
    <xf numFmtId="0" fontId="3" fillId="0" borderId="35" xfId="5" applyFont="1" applyBorder="1"/>
    <xf numFmtId="0" fontId="3" fillId="0" borderId="34" xfId="5" applyFont="1" applyBorder="1"/>
    <xf numFmtId="0" fontId="3" fillId="0" borderId="33" xfId="5" applyFont="1" applyBorder="1"/>
    <xf numFmtId="0" fontId="3" fillId="0" borderId="23" xfId="5" applyFont="1" applyBorder="1"/>
    <xf numFmtId="0" fontId="3" fillId="0" borderId="22" xfId="5" applyFont="1" applyBorder="1"/>
    <xf numFmtId="0" fontId="3" fillId="0" borderId="0" xfId="5" applyFont="1" applyAlignment="1">
      <alignment horizontal="left" vertical="center" wrapText="1"/>
    </xf>
    <xf numFmtId="0" fontId="3" fillId="0" borderId="0" xfId="5" applyFont="1" applyAlignment="1">
      <alignment horizontal="left" vertical="center"/>
    </xf>
    <xf numFmtId="166" fontId="53" fillId="0" borderId="17" xfId="0" applyNumberFormat="1" applyFont="1" applyBorder="1" applyAlignment="1">
      <alignment horizontal="right" vertical="top" shrinkToFit="1"/>
    </xf>
    <xf numFmtId="3" fontId="53" fillId="0" borderId="17" xfId="0" applyNumberFormat="1" applyFont="1" applyBorder="1" applyAlignment="1">
      <alignment horizontal="right" vertical="top" shrinkToFit="1"/>
    </xf>
    <xf numFmtId="0" fontId="5" fillId="0" borderId="7" xfId="5" applyFont="1" applyBorder="1" applyAlignment="1">
      <alignment vertical="center"/>
    </xf>
    <xf numFmtId="166" fontId="54" fillId="0" borderId="59" xfId="0" applyNumberFormat="1" applyFont="1" applyBorder="1" applyAlignment="1">
      <alignment horizontal="right" vertical="top" shrinkToFit="1"/>
    </xf>
    <xf numFmtId="3" fontId="54" fillId="0" borderId="17" xfId="0" applyNumberFormat="1" applyFont="1" applyBorder="1" applyAlignment="1">
      <alignment horizontal="right" vertical="top" shrinkToFit="1"/>
    </xf>
    <xf numFmtId="3" fontId="54" fillId="0" borderId="60" xfId="0" applyNumberFormat="1" applyFont="1" applyBorder="1" applyAlignment="1">
      <alignment horizontal="right" vertical="top" shrinkToFit="1"/>
    </xf>
    <xf numFmtId="3" fontId="54" fillId="0" borderId="61" xfId="0" applyNumberFormat="1" applyFont="1" applyBorder="1" applyAlignment="1">
      <alignment horizontal="right" vertical="top" shrinkToFit="1"/>
    </xf>
    <xf numFmtId="166" fontId="54" fillId="0" borderId="17" xfId="0" applyNumberFormat="1" applyFont="1" applyBorder="1" applyAlignment="1">
      <alignment horizontal="right" vertical="top" shrinkToFit="1"/>
    </xf>
    <xf numFmtId="0" fontId="0" fillId="0" borderId="17" xfId="0" applyBorder="1" applyAlignment="1">
      <alignment horizontal="left" vertical="top" wrapText="1"/>
    </xf>
    <xf numFmtId="0" fontId="5" fillId="0" borderId="1" xfId="5" applyFont="1" applyBorder="1" applyAlignment="1">
      <alignment vertical="center"/>
    </xf>
    <xf numFmtId="170" fontId="5" fillId="0" borderId="1" xfId="77" applyNumberFormat="1" applyFont="1" applyFill="1" applyBorder="1" applyAlignment="1">
      <alignment horizontal="right" vertical="center"/>
    </xf>
    <xf numFmtId="1" fontId="53" fillId="0" borderId="17" xfId="0" applyNumberFormat="1" applyFont="1" applyBorder="1" applyAlignment="1">
      <alignment horizontal="right" vertical="top" shrinkToFit="1"/>
    </xf>
    <xf numFmtId="166" fontId="56" fillId="0" borderId="17" xfId="0" applyNumberFormat="1" applyFont="1" applyBorder="1" applyAlignment="1">
      <alignment horizontal="right" vertical="top" shrinkToFit="1"/>
    </xf>
    <xf numFmtId="1" fontId="56" fillId="0" borderId="17" xfId="0" applyNumberFormat="1" applyFont="1" applyBorder="1" applyAlignment="1">
      <alignment horizontal="right" vertical="top" shrinkToFit="1"/>
    </xf>
    <xf numFmtId="3" fontId="56" fillId="0" borderId="17" xfId="0" applyNumberFormat="1" applyFont="1" applyBorder="1" applyAlignment="1">
      <alignment horizontal="right" vertical="top" shrinkToFit="1"/>
    </xf>
    <xf numFmtId="0" fontId="3" fillId="0" borderId="7" xfId="5" applyFont="1" applyBorder="1" applyAlignment="1">
      <alignment vertical="center"/>
    </xf>
    <xf numFmtId="170" fontId="3" fillId="0" borderId="1" xfId="77" applyNumberFormat="1" applyFont="1" applyFill="1" applyBorder="1" applyAlignment="1">
      <alignment horizontal="right" vertical="center"/>
    </xf>
    <xf numFmtId="0" fontId="3" fillId="0" borderId="1" xfId="5" applyFont="1" applyBorder="1" applyAlignment="1">
      <alignment vertical="center"/>
    </xf>
    <xf numFmtId="0" fontId="3" fillId="0" borderId="15" xfId="5" applyFont="1" applyBorder="1" applyAlignment="1">
      <alignment vertical="center"/>
    </xf>
    <xf numFmtId="0" fontId="3" fillId="0" borderId="3" xfId="5" applyFont="1" applyBorder="1" applyAlignment="1">
      <alignment vertical="center"/>
    </xf>
    <xf numFmtId="166" fontId="3" fillId="0" borderId="3" xfId="0" applyNumberFormat="1" applyFont="1" applyBorder="1" applyAlignment="1">
      <alignment horizontal="right" vertical="center"/>
    </xf>
    <xf numFmtId="3" fontId="3" fillId="0" borderId="3" xfId="0" applyNumberFormat="1" applyFont="1" applyBorder="1" applyAlignment="1">
      <alignment horizontal="right" vertical="center"/>
    </xf>
    <xf numFmtId="170" fontId="3" fillId="0" borderId="3" xfId="77" applyNumberFormat="1" applyFont="1" applyFill="1" applyBorder="1" applyAlignment="1">
      <alignment horizontal="right" vertical="center"/>
    </xf>
    <xf numFmtId="166" fontId="5" fillId="0" borderId="3" xfId="0" applyNumberFormat="1" applyFont="1" applyBorder="1" applyAlignment="1">
      <alignment horizontal="right" vertical="center"/>
    </xf>
    <xf numFmtId="0" fontId="3" fillId="0" borderId="7" xfId="5" applyFont="1" applyBorder="1" applyAlignment="1">
      <alignment vertical="center" wrapText="1"/>
    </xf>
    <xf numFmtId="0" fontId="3" fillId="0" borderId="1" xfId="5" applyFont="1" applyBorder="1" applyAlignment="1">
      <alignment vertical="center" wrapText="1"/>
    </xf>
    <xf numFmtId="170" fontId="3" fillId="0" borderId="1" xfId="0" applyNumberFormat="1" applyFont="1" applyBorder="1" applyAlignment="1">
      <alignment horizontal="right" vertical="center"/>
    </xf>
    <xf numFmtId="0" fontId="3" fillId="0" borderId="2" xfId="0" applyFont="1" applyBorder="1" applyAlignment="1">
      <alignment vertical="center" wrapText="1"/>
    </xf>
    <xf numFmtId="0" fontId="3" fillId="2" borderId="0" xfId="5" applyFont="1" applyFill="1" applyAlignment="1">
      <alignment vertical="center"/>
    </xf>
    <xf numFmtId="0" fontId="3" fillId="0" borderId="0" xfId="47" applyFont="1"/>
    <xf numFmtId="0" fontId="3" fillId="0" borderId="0" xfId="47" applyFont="1" applyAlignment="1">
      <alignment horizontal="left"/>
    </xf>
    <xf numFmtId="0" fontId="3" fillId="0" borderId="0" xfId="47" applyFont="1" applyAlignment="1">
      <alignment horizontal="left" indent="1"/>
    </xf>
    <xf numFmtId="0" fontId="3" fillId="0" borderId="0" xfId="47" applyFont="1" applyAlignment="1">
      <alignment vertical="center"/>
    </xf>
    <xf numFmtId="0" fontId="3" fillId="0" borderId="35" xfId="82" applyFont="1" applyBorder="1" applyAlignment="1">
      <alignment horizontal="left" vertical="center"/>
    </xf>
    <xf numFmtId="0" fontId="3" fillId="0" borderId="34" xfId="82" applyFont="1" applyBorder="1" applyAlignment="1">
      <alignment vertical="center"/>
    </xf>
    <xf numFmtId="0" fontId="3" fillId="0" borderId="34" xfId="47" applyFont="1" applyBorder="1" applyAlignment="1">
      <alignment vertical="center"/>
    </xf>
    <xf numFmtId="0" fontId="3" fillId="0" borderId="33" xfId="5" applyFont="1" applyBorder="1" applyAlignment="1">
      <alignment vertical="center"/>
    </xf>
    <xf numFmtId="0" fontId="3" fillId="0" borderId="0" xfId="82" applyFont="1" applyAlignment="1">
      <alignment vertical="center"/>
    </xf>
    <xf numFmtId="0" fontId="3" fillId="0" borderId="23" xfId="82" applyFont="1" applyBorder="1" applyAlignment="1">
      <alignment horizontal="left" vertical="center"/>
    </xf>
    <xf numFmtId="0" fontId="3" fillId="0" borderId="22" xfId="82" applyFont="1" applyBorder="1" applyAlignment="1">
      <alignment vertical="center"/>
    </xf>
    <xf numFmtId="0" fontId="26" fillId="0" borderId="0" xfId="47" applyFont="1" applyAlignment="1">
      <alignment vertical="center"/>
    </xf>
    <xf numFmtId="0" fontId="5" fillId="0" borderId="23" xfId="82" applyFont="1" applyBorder="1" applyAlignment="1">
      <alignment horizontal="left" vertical="center"/>
    </xf>
    <xf numFmtId="0" fontId="5" fillId="0" borderId="0" xfId="82" applyFont="1" applyAlignment="1">
      <alignment vertical="center"/>
    </xf>
    <xf numFmtId="0" fontId="26" fillId="0" borderId="22" xfId="82" applyFont="1" applyBorder="1" applyAlignment="1">
      <alignment vertical="center"/>
    </xf>
    <xf numFmtId="2" fontId="5" fillId="0" borderId="0" xfId="47" applyNumberFormat="1" applyFont="1" applyAlignment="1">
      <alignment horizontal="right" vertical="center"/>
    </xf>
    <xf numFmtId="0" fontId="5" fillId="0" borderId="0" xfId="47" applyFont="1" applyAlignment="1">
      <alignment vertical="center"/>
    </xf>
    <xf numFmtId="0" fontId="5" fillId="0" borderId="0" xfId="47" applyFont="1" applyAlignment="1">
      <alignment horizontal="center" vertical="center"/>
    </xf>
    <xf numFmtId="1" fontId="5" fillId="0" borderId="1" xfId="82" applyNumberFormat="1" applyFont="1" applyBorder="1" applyAlignment="1">
      <alignment horizontal="right" vertical="center"/>
    </xf>
    <xf numFmtId="0" fontId="5" fillId="0" borderId="1" xfId="82" applyFont="1" applyBorder="1" applyAlignment="1">
      <alignment horizontal="left" vertical="center" indent="2"/>
    </xf>
    <xf numFmtId="0" fontId="5" fillId="0" borderId="7" xfId="82" applyFont="1" applyBorder="1" applyAlignment="1">
      <alignment vertical="center"/>
    </xf>
    <xf numFmtId="2" fontId="5" fillId="0" borderId="1" xfId="47" applyNumberFormat="1" applyFont="1" applyBorder="1" applyAlignment="1">
      <alignment horizontal="right" vertical="center"/>
    </xf>
    <xf numFmtId="0" fontId="5" fillId="0" borderId="1" xfId="47" applyFont="1" applyBorder="1" applyAlignment="1">
      <alignment vertical="center"/>
    </xf>
    <xf numFmtId="0" fontId="5" fillId="0" borderId="1" xfId="47" applyFont="1" applyBorder="1" applyAlignment="1">
      <alignment horizontal="center" vertical="center"/>
    </xf>
    <xf numFmtId="1" fontId="3" fillId="0" borderId="1" xfId="82" applyNumberFormat="1" applyFont="1" applyBorder="1" applyAlignment="1">
      <alignment horizontal="right" vertical="center"/>
    </xf>
    <xf numFmtId="0" fontId="3" fillId="0" borderId="1" xfId="82" applyFont="1" applyBorder="1" applyAlignment="1">
      <alignment horizontal="left" vertical="center" indent="2"/>
    </xf>
    <xf numFmtId="0" fontId="3" fillId="0" borderId="7" xfId="82" applyFont="1" applyBorder="1" applyAlignment="1">
      <alignment vertical="center"/>
    </xf>
    <xf numFmtId="2" fontId="3" fillId="0" borderId="1" xfId="47" applyNumberFormat="1" applyFont="1" applyBorder="1" applyAlignment="1">
      <alignment horizontal="right" vertical="center"/>
    </xf>
    <xf numFmtId="0" fontId="3" fillId="0" borderId="1" xfId="47" applyFont="1" applyBorder="1" applyAlignment="1">
      <alignment vertical="center"/>
    </xf>
    <xf numFmtId="0" fontId="3" fillId="0" borderId="1" xfId="47" applyFont="1" applyBorder="1" applyAlignment="1">
      <alignment horizontal="center" vertical="center"/>
    </xf>
    <xf numFmtId="0" fontId="3" fillId="0" borderId="1" xfId="82" applyFont="1" applyBorder="1" applyAlignment="1">
      <alignment horizontal="left" vertical="center" wrapText="1" indent="2"/>
    </xf>
    <xf numFmtId="0" fontId="3" fillId="0" borderId="7" xfId="82" applyFont="1" applyBorder="1" applyAlignment="1">
      <alignment vertical="center" wrapText="1"/>
    </xf>
    <xf numFmtId="0" fontId="3" fillId="0" borderId="1" xfId="47" applyFont="1" applyBorder="1" applyAlignment="1">
      <alignment vertical="center" wrapText="1"/>
    </xf>
    <xf numFmtId="0" fontId="3" fillId="0" borderId="7" xfId="82" applyFont="1" applyBorder="1" applyAlignment="1">
      <alignment horizontal="left" vertical="center"/>
    </xf>
    <xf numFmtId="0" fontId="3" fillId="0" borderId="1" xfId="47" applyFont="1" applyBorder="1" applyAlignment="1">
      <alignment horizontal="left" vertical="center"/>
    </xf>
    <xf numFmtId="0" fontId="5" fillId="0" borderId="7" xfId="82" applyFont="1" applyBorder="1" applyAlignment="1">
      <alignment horizontal="left" vertical="center"/>
    </xf>
    <xf numFmtId="0" fontId="5" fillId="0" borderId="1" xfId="47" applyFont="1" applyBorder="1" applyAlignment="1">
      <alignment horizontal="left" vertical="center"/>
    </xf>
    <xf numFmtId="0" fontId="3" fillId="2" borderId="0" xfId="47" applyFont="1" applyFill="1" applyAlignment="1">
      <alignment horizontal="center" vertical="center"/>
    </xf>
    <xf numFmtId="0" fontId="5" fillId="0" borderId="5" xfId="82" applyFont="1" applyBorder="1" applyAlignment="1">
      <alignment vertical="center"/>
    </xf>
    <xf numFmtId="0" fontId="5" fillId="0" borderId="38" xfId="82" applyFont="1" applyBorder="1" applyAlignment="1">
      <alignment vertical="center"/>
    </xf>
    <xf numFmtId="0" fontId="5" fillId="0" borderId="5" xfId="47" applyFont="1" applyBorder="1" applyAlignment="1">
      <alignment vertical="center"/>
    </xf>
    <xf numFmtId="0" fontId="8" fillId="0" borderId="0" xfId="82" applyFont="1" applyAlignment="1">
      <alignment horizontal="center" vertical="center"/>
    </xf>
    <xf numFmtId="0" fontId="2" fillId="0" borderId="0" xfId="0" applyFont="1" applyAlignment="1">
      <alignment horizontal="right" vertical="top"/>
    </xf>
    <xf numFmtId="0" fontId="2" fillId="0" borderId="0" xfId="47" applyFont="1" applyAlignment="1">
      <alignment horizontal="right" vertical="center"/>
    </xf>
    <xf numFmtId="0" fontId="3" fillId="0" borderId="35" xfId="47" applyFont="1" applyBorder="1" applyAlignment="1">
      <alignment vertical="center"/>
    </xf>
    <xf numFmtId="0" fontId="3" fillId="0" borderId="33" xfId="47" applyFont="1" applyBorder="1" applyAlignment="1">
      <alignment vertical="center"/>
    </xf>
    <xf numFmtId="41" fontId="3" fillId="0" borderId="24" xfId="82" applyNumberFormat="1" applyFont="1" applyBorder="1" applyAlignment="1">
      <alignment horizontal="right" vertical="center" wrapText="1"/>
    </xf>
    <xf numFmtId="41" fontId="3" fillId="0" borderId="1" xfId="82" applyNumberFormat="1" applyFont="1" applyBorder="1" applyAlignment="1">
      <alignment vertical="center" wrapText="1"/>
    </xf>
    <xf numFmtId="41" fontId="3" fillId="0" borderId="1" xfId="82" applyNumberFormat="1" applyFont="1" applyBorder="1" applyAlignment="1">
      <alignment vertical="center"/>
    </xf>
    <xf numFmtId="0" fontId="3" fillId="0" borderId="1" xfId="82" applyFont="1" applyBorder="1" applyAlignment="1">
      <alignment horizontal="left" vertical="center" wrapText="1"/>
    </xf>
    <xf numFmtId="0" fontId="3" fillId="0" borderId="36" xfId="82" applyFont="1" applyBorder="1" applyAlignment="1">
      <alignment horizontal="center" vertical="center" wrapText="1"/>
    </xf>
    <xf numFmtId="41" fontId="3" fillId="0" borderId="24" xfId="47" applyNumberFormat="1" applyFont="1" applyBorder="1" applyAlignment="1">
      <alignment horizontal="right" vertical="center" wrapText="1"/>
    </xf>
    <xf numFmtId="41" fontId="3" fillId="0" borderId="1" xfId="47" applyNumberFormat="1" applyFont="1" applyBorder="1" applyAlignment="1">
      <alignment vertical="center" wrapText="1"/>
    </xf>
    <xf numFmtId="41" fontId="3" fillId="0" borderId="1" xfId="47" applyNumberFormat="1" applyFont="1" applyBorder="1" applyAlignment="1">
      <alignment vertical="center"/>
    </xf>
    <xf numFmtId="0" fontId="3" fillId="0" borderId="1" xfId="47" applyFont="1" applyBorder="1" applyAlignment="1">
      <alignment horizontal="left" vertical="center" wrapText="1"/>
    </xf>
    <xf numFmtId="0" fontId="3" fillId="0" borderId="36" xfId="47" applyFont="1" applyBorder="1" applyAlignment="1">
      <alignment horizontal="center" vertical="center" wrapText="1"/>
    </xf>
    <xf numFmtId="41" fontId="3" fillId="0" borderId="42" xfId="47" applyNumberFormat="1" applyFont="1" applyBorder="1" applyAlignment="1">
      <alignment horizontal="right" vertical="center" wrapText="1"/>
    </xf>
    <xf numFmtId="41" fontId="3" fillId="0" borderId="3" xfId="47" applyNumberFormat="1" applyFont="1" applyBorder="1" applyAlignment="1">
      <alignment vertical="center" wrapText="1"/>
    </xf>
    <xf numFmtId="41" fontId="3" fillId="0" borderId="3" xfId="47" applyNumberFormat="1" applyFont="1" applyBorder="1" applyAlignment="1">
      <alignment vertical="center"/>
    </xf>
    <xf numFmtId="0" fontId="3" fillId="0" borderId="3" xfId="47" applyFont="1" applyBorder="1" applyAlignment="1">
      <alignment horizontal="left" vertical="center" wrapText="1"/>
    </xf>
    <xf numFmtId="0" fontId="3" fillId="0" borderId="41" xfId="47" applyFont="1" applyBorder="1" applyAlignment="1">
      <alignment horizontal="center" vertical="center" wrapText="1"/>
    </xf>
    <xf numFmtId="0" fontId="2" fillId="0" borderId="0" xfId="47" applyFont="1" applyAlignment="1">
      <alignment vertical="center"/>
    </xf>
    <xf numFmtId="41" fontId="3" fillId="0" borderId="1" xfId="47" applyNumberFormat="1" applyFont="1" applyBorder="1" applyAlignment="1">
      <alignment horizontal="right" vertical="center" wrapText="1"/>
    </xf>
    <xf numFmtId="41" fontId="3" fillId="0" borderId="24" xfId="47" applyNumberFormat="1" applyFont="1" applyBorder="1" applyAlignment="1">
      <alignment vertical="center" wrapText="1"/>
    </xf>
    <xf numFmtId="0" fontId="5" fillId="0" borderId="22" xfId="47" applyFont="1" applyBorder="1" applyAlignment="1">
      <alignment horizontal="center" vertical="center" wrapText="1"/>
    </xf>
    <xf numFmtId="0" fontId="3" fillId="0" borderId="0" xfId="47" applyFont="1" applyAlignment="1">
      <alignment horizontal="center"/>
    </xf>
    <xf numFmtId="0" fontId="7" fillId="0" borderId="0" xfId="47" applyFont="1"/>
    <xf numFmtId="0" fontId="7" fillId="0" borderId="0" xfId="47" applyFont="1" applyAlignment="1">
      <alignment horizontal="left" vertical="top" indent="1"/>
    </xf>
    <xf numFmtId="0" fontId="7" fillId="0" borderId="0" xfId="47" applyFont="1" applyAlignment="1">
      <alignment wrapText="1"/>
    </xf>
    <xf numFmtId="0" fontId="7" fillId="0" borderId="0" xfId="47" applyFont="1" applyAlignment="1">
      <alignment vertical="top" wrapText="1"/>
    </xf>
    <xf numFmtId="0" fontId="7" fillId="0" borderId="0" xfId="47" applyFont="1" applyAlignment="1">
      <alignment vertical="top"/>
    </xf>
    <xf numFmtId="41" fontId="1" fillId="0" borderId="1" xfId="0" applyNumberFormat="1" applyFont="1" applyBorder="1"/>
    <xf numFmtId="0" fontId="0" fillId="0" borderId="1" xfId="0" applyBorder="1"/>
    <xf numFmtId="41" fontId="1" fillId="0" borderId="24" xfId="0" applyNumberFormat="1" applyFont="1" applyBorder="1"/>
    <xf numFmtId="3" fontId="3" fillId="0" borderId="24" xfId="0" applyNumberFormat="1" applyFont="1" applyBorder="1" applyAlignment="1">
      <alignment vertical="center"/>
    </xf>
    <xf numFmtId="0" fontId="3" fillId="0" borderId="24" xfId="0" applyFont="1" applyBorder="1" applyAlignment="1">
      <alignment vertical="center"/>
    </xf>
    <xf numFmtId="0" fontId="25" fillId="2" borderId="0" xfId="47" applyFont="1" applyFill="1" applyAlignment="1">
      <alignment horizontal="center" vertical="center"/>
    </xf>
    <xf numFmtId="0" fontId="3" fillId="0" borderId="0" xfId="83" applyFont="1"/>
    <xf numFmtId="0" fontId="7" fillId="0" borderId="0" xfId="83" applyFont="1"/>
    <xf numFmtId="0" fontId="7" fillId="0" borderId="0" xfId="83" applyFont="1" applyAlignment="1">
      <alignment horizontal="left"/>
    </xf>
    <xf numFmtId="0" fontId="3" fillId="0" borderId="0" xfId="84" applyFont="1"/>
    <xf numFmtId="0" fontId="3" fillId="0" borderId="0" xfId="84" applyFont="1" applyAlignment="1">
      <alignment horizontal="center" vertical="center"/>
    </xf>
    <xf numFmtId="0" fontId="3" fillId="0" borderId="0" xfId="83" applyFont="1" applyAlignment="1">
      <alignment vertical="center"/>
    </xf>
    <xf numFmtId="41" fontId="3" fillId="0" borderId="1" xfId="84" applyNumberFormat="1" applyFont="1" applyBorder="1" applyAlignment="1">
      <alignment horizontal="right" wrapText="1"/>
    </xf>
    <xf numFmtId="1" fontId="3" fillId="0" borderId="1" xfId="84" applyNumberFormat="1" applyFont="1" applyBorder="1"/>
    <xf numFmtId="0" fontId="3" fillId="0" borderId="1" xfId="84" applyFont="1" applyBorder="1" applyAlignment="1">
      <alignment vertical="top" wrapText="1"/>
    </xf>
    <xf numFmtId="41" fontId="3" fillId="0" borderId="1" xfId="5" applyNumberFormat="1" applyFont="1" applyBorder="1"/>
    <xf numFmtId="41" fontId="3" fillId="0" borderId="1" xfId="84" applyNumberFormat="1" applyFont="1" applyBorder="1"/>
    <xf numFmtId="41" fontId="3" fillId="0" borderId="1" xfId="84" applyNumberFormat="1" applyFont="1" applyBorder="1" applyAlignment="1">
      <alignment horizontal="right"/>
    </xf>
    <xf numFmtId="1" fontId="3" fillId="0" borderId="1" xfId="84" applyNumberFormat="1" applyFont="1" applyBorder="1" applyAlignment="1">
      <alignment horizontal="right" wrapText="1"/>
    </xf>
    <xf numFmtId="1" fontId="3" fillId="0" borderId="1" xfId="84" applyNumberFormat="1" applyFont="1" applyBorder="1" applyAlignment="1">
      <alignment wrapText="1"/>
    </xf>
    <xf numFmtId="41" fontId="3" fillId="0" borderId="1" xfId="83" applyNumberFormat="1" applyFont="1" applyBorder="1" applyAlignment="1">
      <alignment horizontal="right" vertical="top" wrapText="1"/>
    </xf>
    <xf numFmtId="41" fontId="3" fillId="0" borderId="1" xfId="83" applyNumberFormat="1" applyFont="1" applyBorder="1"/>
    <xf numFmtId="41" fontId="3" fillId="0" borderId="1" xfId="83" applyNumberFormat="1" applyFont="1" applyBorder="1" applyAlignment="1">
      <alignment horizontal="right"/>
    </xf>
    <xf numFmtId="0" fontId="3" fillId="0" borderId="1" xfId="83" applyFont="1" applyBorder="1"/>
    <xf numFmtId="0" fontId="3" fillId="0" borderId="1" xfId="83" applyFont="1" applyBorder="1" applyAlignment="1">
      <alignment vertical="top" wrapText="1"/>
    </xf>
    <xf numFmtId="41" fontId="3" fillId="0" borderId="1" xfId="83" applyNumberFormat="1" applyFont="1" applyBorder="1" applyAlignment="1">
      <alignment vertical="top"/>
    </xf>
    <xf numFmtId="41" fontId="3" fillId="0" borderId="1" xfId="83" applyNumberFormat="1" applyFont="1" applyBorder="1" applyAlignment="1">
      <alignment vertical="top" wrapText="1"/>
    </xf>
    <xf numFmtId="0" fontId="3" fillId="0" borderId="1" xfId="83" applyFont="1" applyBorder="1" applyAlignment="1">
      <alignment horizontal="right" vertical="top" wrapText="1"/>
    </xf>
    <xf numFmtId="0" fontId="3" fillId="0" borderId="1" xfId="83" applyFont="1" applyBorder="1" applyAlignment="1">
      <alignment horizontal="left" vertical="top" wrapText="1"/>
    </xf>
    <xf numFmtId="0" fontId="3" fillId="0" borderId="0" xfId="83" applyFont="1" applyAlignment="1">
      <alignment vertical="top"/>
    </xf>
    <xf numFmtId="0" fontId="5" fillId="0" borderId="1" xfId="83" applyFont="1" applyBorder="1" applyAlignment="1">
      <alignment horizontal="center" vertical="top" wrapText="1"/>
    </xf>
    <xf numFmtId="0" fontId="5" fillId="0" borderId="1" xfId="83" applyFont="1" applyBorder="1" applyAlignment="1">
      <alignment horizontal="center" vertical="center" wrapText="1"/>
    </xf>
    <xf numFmtId="0" fontId="5" fillId="0" borderId="1" xfId="83" applyFont="1" applyBorder="1" applyAlignment="1">
      <alignment horizontal="center" vertical="center"/>
    </xf>
    <xf numFmtId="0" fontId="3" fillId="2" borderId="0" xfId="83" applyFont="1" applyFill="1" applyAlignment="1">
      <alignment horizontal="center" vertical="center"/>
    </xf>
    <xf numFmtId="0" fontId="5" fillId="2" borderId="1" xfId="83" applyFont="1" applyFill="1" applyBorder="1" applyAlignment="1">
      <alignment horizontal="center" vertical="top" wrapText="1"/>
    </xf>
    <xf numFmtId="0" fontId="3" fillId="0" borderId="0" xfId="84" applyFont="1" applyAlignment="1">
      <alignment horizontal="center"/>
    </xf>
    <xf numFmtId="41" fontId="3" fillId="0" borderId="1" xfId="84" applyNumberFormat="1" applyFont="1" applyBorder="1" applyAlignment="1">
      <alignment vertical="center"/>
    </xf>
    <xf numFmtId="170" fontId="3" fillId="0" borderId="1" xfId="84" applyNumberFormat="1" applyFont="1" applyBorder="1" applyAlignment="1">
      <alignment vertical="center"/>
    </xf>
    <xf numFmtId="41" fontId="3" fillId="0" borderId="1" xfId="84" applyNumberFormat="1" applyFont="1" applyBorder="1" applyAlignment="1">
      <alignment horizontal="right" vertical="center"/>
    </xf>
    <xf numFmtId="0" fontId="3" fillId="0" borderId="1" xfId="84" applyFont="1" applyBorder="1" applyAlignment="1">
      <alignment vertical="center"/>
    </xf>
    <xf numFmtId="49" fontId="5" fillId="2" borderId="1" xfId="84" applyNumberFormat="1" applyFont="1" applyFill="1" applyBorder="1" applyAlignment="1">
      <alignment horizontal="center" vertical="top" wrapText="1"/>
    </xf>
    <xf numFmtId="0" fontId="3" fillId="0" borderId="0" xfId="85" applyFont="1"/>
    <xf numFmtId="0" fontId="58" fillId="0" borderId="0" xfId="86" applyFill="1" applyAlignment="1" applyProtection="1"/>
    <xf numFmtId="0" fontId="3" fillId="0" borderId="0" xfId="85" applyFont="1" applyAlignment="1">
      <alignment vertical="center"/>
    </xf>
    <xf numFmtId="0" fontId="5" fillId="0" borderId="1" xfId="85" applyFont="1" applyBorder="1" applyAlignment="1">
      <alignment vertical="center" wrapText="1"/>
    </xf>
    <xf numFmtId="41" fontId="5" fillId="0" borderId="1" xfId="5" applyNumberFormat="1" applyFont="1" applyBorder="1" applyAlignment="1">
      <alignment horizontal="right" vertical="center"/>
    </xf>
    <xf numFmtId="0" fontId="3" fillId="0" borderId="1" xfId="85" applyFont="1" applyBorder="1" applyAlignment="1">
      <alignment vertical="center"/>
    </xf>
    <xf numFmtId="41" fontId="3" fillId="0" borderId="1" xfId="5" applyNumberFormat="1" applyFont="1" applyBorder="1" applyAlignment="1">
      <alignment horizontal="right" vertical="center"/>
    </xf>
    <xf numFmtId="41" fontId="3" fillId="0" borderId="1" xfId="85" applyNumberFormat="1" applyFont="1" applyBorder="1" applyAlignment="1">
      <alignment vertical="center" wrapText="1"/>
    </xf>
    <xf numFmtId="41" fontId="3" fillId="0" borderId="1" xfId="85" applyNumberFormat="1" applyFont="1" applyBorder="1" applyAlignment="1">
      <alignment horizontal="right" vertical="center"/>
    </xf>
    <xf numFmtId="0" fontId="3" fillId="0" borderId="1" xfId="85" applyFont="1" applyBorder="1" applyAlignment="1">
      <alignment vertical="center" wrapText="1"/>
    </xf>
    <xf numFmtId="0" fontId="3" fillId="0" borderId="1" xfId="85" applyFont="1" applyBorder="1" applyAlignment="1">
      <alignment horizontal="left" vertical="center"/>
    </xf>
    <xf numFmtId="0" fontId="25" fillId="2" borderId="0" xfId="85" applyFont="1" applyFill="1" applyAlignment="1">
      <alignment vertical="center"/>
    </xf>
    <xf numFmtId="0" fontId="5" fillId="2" borderId="1" xfId="85" applyFont="1" applyFill="1" applyBorder="1" applyAlignment="1">
      <alignment horizontal="center" vertical="center" wrapText="1"/>
    </xf>
    <xf numFmtId="2" fontId="3" fillId="0" borderId="0" xfId="85" applyNumberFormat="1" applyFont="1" applyAlignment="1">
      <alignment vertical="center"/>
    </xf>
    <xf numFmtId="0" fontId="5" fillId="0" borderId="0" xfId="85" applyFont="1" applyAlignment="1">
      <alignment horizontal="center" vertical="center" wrapText="1"/>
    </xf>
    <xf numFmtId="0" fontId="3" fillId="0" borderId="22" xfId="85" applyFont="1" applyBorder="1" applyAlignment="1">
      <alignment vertical="center"/>
    </xf>
    <xf numFmtId="0" fontId="3" fillId="0" borderId="0" xfId="85" applyFont="1" applyAlignment="1">
      <alignment horizontal="center"/>
    </xf>
    <xf numFmtId="0" fontId="5" fillId="0" borderId="1" xfId="85" applyFont="1" applyBorder="1" applyAlignment="1">
      <alignment vertical="center"/>
    </xf>
    <xf numFmtId="0" fontId="3" fillId="0" borderId="1" xfId="85" applyFont="1" applyBorder="1" applyAlignment="1">
      <alignment horizontal="center" vertical="center"/>
    </xf>
    <xf numFmtId="0" fontId="3" fillId="0" borderId="7" xfId="85" applyFont="1" applyBorder="1" applyAlignment="1">
      <alignment vertical="center" wrapText="1"/>
    </xf>
    <xf numFmtId="0" fontId="3" fillId="0" borderId="7" xfId="85" applyFont="1" applyBorder="1" applyAlignment="1">
      <alignment vertical="center"/>
    </xf>
    <xf numFmtId="0" fontId="3" fillId="0" borderId="7" xfId="85" applyFont="1" applyBorder="1" applyAlignment="1">
      <alignment horizontal="left" vertical="center"/>
    </xf>
    <xf numFmtId="0" fontId="3" fillId="0" borderId="0" xfId="85" applyFont="1" applyAlignment="1">
      <alignment horizontal="left" vertical="center"/>
    </xf>
    <xf numFmtId="0" fontId="5" fillId="0" borderId="7" xfId="85" applyFont="1" applyBorder="1" applyAlignment="1">
      <alignment vertical="center"/>
    </xf>
    <xf numFmtId="0" fontId="5" fillId="0" borderId="0" xfId="85" applyFont="1" applyAlignment="1">
      <alignment vertical="center"/>
    </xf>
    <xf numFmtId="0" fontId="5" fillId="0" borderId="1" xfId="5" applyFont="1" applyBorder="1" applyAlignment="1">
      <alignment horizontal="right" vertical="center"/>
    </xf>
    <xf numFmtId="172" fontId="5" fillId="0" borderId="1" xfId="5" applyNumberFormat="1" applyFont="1" applyBorder="1" applyAlignment="1">
      <alignment horizontal="right" vertical="center"/>
    </xf>
    <xf numFmtId="172" fontId="3" fillId="0" borderId="1" xfId="5" applyNumberFormat="1" applyFont="1" applyBorder="1" applyAlignment="1">
      <alignment horizontal="right" vertical="center"/>
    </xf>
    <xf numFmtId="172" fontId="3" fillId="0" borderId="1" xfId="85" applyNumberFormat="1" applyFont="1" applyBorder="1" applyAlignment="1">
      <alignment horizontal="right" vertical="center"/>
    </xf>
    <xf numFmtId="0" fontId="25" fillId="2" borderId="0" xfId="85" applyFont="1" applyFill="1" applyAlignment="1">
      <alignment horizontal="center" vertical="center"/>
    </xf>
    <xf numFmtId="0" fontId="5" fillId="2" borderId="7" xfId="85" applyFont="1" applyFill="1" applyBorder="1" applyAlignment="1">
      <alignment horizontal="center" vertical="center" wrapText="1"/>
    </xf>
    <xf numFmtId="0" fontId="7" fillId="0" borderId="0" xfId="85" applyFont="1" applyAlignment="1">
      <alignment vertical="center"/>
    </xf>
    <xf numFmtId="0" fontId="3" fillId="0" borderId="23" xfId="85" applyFont="1" applyBorder="1" applyAlignment="1">
      <alignment vertical="center"/>
    </xf>
    <xf numFmtId="0" fontId="1" fillId="0" borderId="0" xfId="56"/>
    <xf numFmtId="0" fontId="1" fillId="0" borderId="0" xfId="56" applyAlignment="1">
      <alignment vertical="center"/>
    </xf>
    <xf numFmtId="0" fontId="5" fillId="0" borderId="1" xfId="56" applyFont="1" applyBorder="1"/>
    <xf numFmtId="0" fontId="3" fillId="0" borderId="1" xfId="56" applyFont="1" applyBorder="1"/>
    <xf numFmtId="0" fontId="3" fillId="0" borderId="1" xfId="56" applyFont="1" applyBorder="1" applyAlignment="1">
      <alignment vertical="center"/>
    </xf>
    <xf numFmtId="0" fontId="1" fillId="0" borderId="1" xfId="56" applyBorder="1"/>
    <xf numFmtId="0" fontId="1" fillId="0" borderId="2" xfId="56" applyBorder="1"/>
    <xf numFmtId="0" fontId="1" fillId="2" borderId="0" xfId="56" applyFill="1" applyAlignment="1">
      <alignment vertical="center"/>
    </xf>
    <xf numFmtId="0" fontId="1" fillId="2" borderId="1" xfId="56" applyFill="1" applyBorder="1" applyAlignment="1">
      <alignment vertical="center"/>
    </xf>
    <xf numFmtId="0" fontId="1" fillId="2" borderId="2" xfId="56" applyFill="1" applyBorder="1" applyAlignment="1">
      <alignment vertical="center"/>
    </xf>
    <xf numFmtId="0" fontId="1" fillId="2" borderId="6" xfId="56" applyFill="1" applyBorder="1" applyAlignment="1">
      <alignment vertical="center"/>
    </xf>
    <xf numFmtId="0" fontId="1" fillId="2" borderId="56" xfId="56" applyFill="1" applyBorder="1" applyAlignment="1">
      <alignment vertical="center"/>
    </xf>
    <xf numFmtId="0" fontId="1" fillId="0" borderId="0" xfId="56" applyAlignment="1">
      <alignment horizontal="center" vertical="center" wrapText="1"/>
    </xf>
    <xf numFmtId="0" fontId="3" fillId="0" borderId="0" xfId="56" applyFont="1"/>
    <xf numFmtId="0" fontId="3" fillId="0" borderId="0" xfId="56" applyFont="1" applyAlignment="1">
      <alignment vertical="center"/>
    </xf>
    <xf numFmtId="0" fontId="3" fillId="0" borderId="2" xfId="56" applyFont="1" applyBorder="1"/>
    <xf numFmtId="0" fontId="3" fillId="2" borderId="0" xfId="56" applyFont="1" applyFill="1" applyAlignment="1">
      <alignment horizontal="center" vertical="center"/>
    </xf>
    <xf numFmtId="0" fontId="3" fillId="2" borderId="1" xfId="56" applyFont="1" applyFill="1" applyBorder="1" applyAlignment="1">
      <alignment horizontal="center" vertical="center"/>
    </xf>
    <xf numFmtId="0" fontId="3" fillId="2" borderId="2" xfId="56" applyFont="1" applyFill="1" applyBorder="1" applyAlignment="1">
      <alignment horizontal="center" vertical="center"/>
    </xf>
    <xf numFmtId="1" fontId="3" fillId="0" borderId="0" xfId="0" applyNumberFormat="1" applyFont="1"/>
    <xf numFmtId="0" fontId="12" fillId="0" borderId="23" xfId="0" applyFont="1" applyBorder="1"/>
    <xf numFmtId="0" fontId="12" fillId="0" borderId="22" xfId="0" applyFont="1" applyBorder="1" applyAlignment="1">
      <alignment vertical="center"/>
    </xf>
    <xf numFmtId="0" fontId="12" fillId="0" borderId="22" xfId="0" quotePrefix="1" applyFont="1" applyBorder="1" applyAlignment="1">
      <alignment vertical="center"/>
    </xf>
    <xf numFmtId="0" fontId="3" fillId="0" borderId="0" xfId="0" quotePrefix="1" applyFont="1" applyAlignment="1">
      <alignment vertical="center"/>
    </xf>
    <xf numFmtId="0" fontId="61" fillId="0" borderId="0" xfId="0" applyFont="1"/>
    <xf numFmtId="0" fontId="3" fillId="0" borderId="0" xfId="0" applyFont="1" applyAlignment="1">
      <alignment horizontal="right" vertical="center" wrapText="1"/>
    </xf>
    <xf numFmtId="0" fontId="42" fillId="0" borderId="22" xfId="0" applyFont="1" applyBorder="1" applyAlignment="1">
      <alignment vertical="center"/>
    </xf>
    <xf numFmtId="166" fontId="3" fillId="0" borderId="0" xfId="0" applyNumberFormat="1" applyFont="1" applyAlignment="1">
      <alignment vertical="center" wrapText="1"/>
    </xf>
    <xf numFmtId="0" fontId="12" fillId="0" borderId="23" xfId="0" applyFont="1" applyBorder="1" applyAlignment="1">
      <alignment horizontal="right" vertical="center" wrapText="1"/>
    </xf>
    <xf numFmtId="1" fontId="3" fillId="0" borderId="0" xfId="0" applyNumberFormat="1" applyFont="1" applyAlignment="1">
      <alignment vertical="center"/>
    </xf>
    <xf numFmtId="166" fontId="3" fillId="0" borderId="0" xfId="0" applyNumberFormat="1" applyFont="1" applyAlignment="1">
      <alignment horizontal="right" vertical="center" wrapText="1"/>
    </xf>
    <xf numFmtId="41" fontId="5" fillId="0" borderId="1" xfId="0" applyNumberFormat="1" applyFont="1" applyBorder="1" applyAlignment="1">
      <alignment horizontal="right" vertical="center" wrapText="1"/>
    </xf>
    <xf numFmtId="41" fontId="3" fillId="0" borderId="1" xfId="0" applyNumberFormat="1" applyFont="1" applyBorder="1" applyAlignment="1">
      <alignment horizontal="right" vertical="center" wrapText="1"/>
    </xf>
    <xf numFmtId="41" fontId="3" fillId="0" borderId="1" xfId="0" applyNumberFormat="1" applyFont="1" applyBorder="1" applyAlignment="1">
      <alignment vertical="center" wrapText="1"/>
    </xf>
    <xf numFmtId="41" fontId="66" fillId="0" borderId="1" xfId="0" applyNumberFormat="1" applyFont="1" applyBorder="1" applyAlignment="1">
      <alignment horizontal="right"/>
    </xf>
    <xf numFmtId="1" fontId="5" fillId="0" borderId="1" xfId="0" applyNumberFormat="1" applyFont="1" applyBorder="1" applyAlignment="1">
      <alignment horizontal="right" vertical="center" wrapText="1"/>
    </xf>
    <xf numFmtId="1" fontId="3" fillId="0" borderId="1" xfId="0" applyNumberFormat="1" applyFont="1" applyBorder="1" applyAlignment="1">
      <alignment horizontal="right" vertical="center" wrapText="1"/>
    </xf>
    <xf numFmtId="166" fontId="3" fillId="0" borderId="1" xfId="0" applyNumberFormat="1" applyFont="1" applyBorder="1" applyAlignment="1">
      <alignment vertical="center" wrapText="1"/>
    </xf>
    <xf numFmtId="1" fontId="3" fillId="0" borderId="1" xfId="0" applyNumberFormat="1" applyFont="1" applyBorder="1" applyAlignment="1">
      <alignment vertical="center"/>
    </xf>
    <xf numFmtId="1" fontId="5" fillId="0" borderId="1" xfId="0" applyNumberFormat="1" applyFont="1" applyBorder="1" applyAlignment="1">
      <alignment vertical="center"/>
    </xf>
    <xf numFmtId="41" fontId="25" fillId="0" borderId="1" xfId="0" applyNumberFormat="1" applyFont="1" applyBorder="1" applyAlignment="1">
      <alignment horizontal="right" vertical="center" wrapText="1"/>
    </xf>
    <xf numFmtId="0" fontId="25" fillId="0" borderId="1" xfId="0" applyFont="1" applyBorder="1" applyAlignment="1">
      <alignment horizontal="left" vertical="center"/>
    </xf>
    <xf numFmtId="0" fontId="25" fillId="0" borderId="1" xfId="0" applyFont="1" applyBorder="1" applyAlignment="1">
      <alignment horizontal="center" vertical="center"/>
    </xf>
    <xf numFmtId="41" fontId="25" fillId="0" borderId="1" xfId="0" applyNumberFormat="1" applyFont="1" applyBorder="1" applyAlignment="1">
      <alignment vertical="center" wrapText="1"/>
    </xf>
    <xf numFmtId="41" fontId="25" fillId="0" borderId="1" xfId="0" applyNumberFormat="1" applyFont="1" applyBorder="1" applyAlignment="1">
      <alignment vertical="center"/>
    </xf>
    <xf numFmtId="41" fontId="8" fillId="0" borderId="1" xfId="0" applyNumberFormat="1" applyFont="1" applyBorder="1" applyAlignment="1">
      <alignment vertical="center"/>
    </xf>
    <xf numFmtId="41" fontId="68" fillId="0" borderId="1" xfId="0" applyNumberFormat="1" applyFont="1" applyBorder="1" applyAlignment="1">
      <alignment horizontal="right"/>
    </xf>
    <xf numFmtId="1" fontId="68" fillId="0" borderId="1" xfId="0" applyNumberFormat="1" applyFont="1" applyBorder="1" applyAlignment="1">
      <alignment horizontal="right"/>
    </xf>
    <xf numFmtId="1" fontId="25" fillId="0" borderId="1" xfId="0" applyNumberFormat="1" applyFont="1" applyBorder="1" applyAlignment="1">
      <alignment horizontal="right" vertical="center" wrapText="1"/>
    </xf>
    <xf numFmtId="166" fontId="25" fillId="0" borderId="1" xfId="0" applyNumberFormat="1" applyFont="1" applyBorder="1" applyAlignment="1">
      <alignment vertical="center" wrapText="1"/>
    </xf>
    <xf numFmtId="1" fontId="25" fillId="0" borderId="1" xfId="0" applyNumberFormat="1" applyFont="1" applyBorder="1" applyAlignment="1">
      <alignment vertical="center"/>
    </xf>
    <xf numFmtId="1" fontId="8" fillId="0" borderId="1" xfId="0" applyNumberFormat="1" applyFont="1" applyBorder="1" applyAlignment="1">
      <alignment vertical="center"/>
    </xf>
    <xf numFmtId="0" fontId="25" fillId="0" borderId="1" xfId="0" applyFont="1" applyBorder="1" applyAlignment="1">
      <alignment vertical="center"/>
    </xf>
    <xf numFmtId="0" fontId="5" fillId="2" borderId="0" xfId="0" applyFont="1" applyFill="1" applyAlignment="1">
      <alignment horizontal="center" vertical="center" wrapText="1"/>
    </xf>
    <xf numFmtId="0" fontId="5" fillId="0" borderId="0" xfId="0" applyFont="1" applyAlignment="1">
      <alignment horizontal="center" vertical="center" wrapText="1"/>
    </xf>
    <xf numFmtId="1" fontId="5" fillId="2" borderId="1" xfId="0" applyNumberFormat="1" applyFont="1" applyFill="1" applyBorder="1" applyAlignment="1">
      <alignment horizontal="center" vertical="center" wrapText="1"/>
    </xf>
    <xf numFmtId="0" fontId="3" fillId="2" borderId="0" xfId="0" applyFont="1" applyFill="1" applyAlignment="1">
      <alignment vertical="center" wrapText="1"/>
    </xf>
    <xf numFmtId="0" fontId="5" fillId="2" borderId="1" xfId="0" applyFont="1" applyFill="1" applyBorder="1" applyAlignment="1">
      <alignment horizontal="left" vertical="center" wrapText="1"/>
    </xf>
    <xf numFmtId="0" fontId="5" fillId="2" borderId="1" xfId="0" applyFont="1" applyFill="1" applyBorder="1" applyAlignment="1">
      <alignment vertical="center" wrapText="1"/>
    </xf>
    <xf numFmtId="0" fontId="5" fillId="2" borderId="1" xfId="0" applyFont="1" applyFill="1" applyBorder="1" applyAlignment="1">
      <alignment horizontal="left" vertical="top" wrapText="1"/>
    </xf>
    <xf numFmtId="0" fontId="5" fillId="2" borderId="1" xfId="0" applyFont="1" applyFill="1" applyBorder="1" applyAlignment="1">
      <alignment vertical="top" wrapText="1"/>
    </xf>
    <xf numFmtId="0" fontId="12" fillId="0" borderId="5" xfId="0" applyFont="1" applyBorder="1" applyAlignment="1">
      <alignment horizontal="center" vertical="center"/>
    </xf>
    <xf numFmtId="0" fontId="64" fillId="0" borderId="5" xfId="0" applyFont="1" applyBorder="1" applyAlignment="1">
      <alignment horizontal="center" vertical="center"/>
    </xf>
    <xf numFmtId="0" fontId="12" fillId="0" borderId="5" xfId="0" applyFont="1" applyBorder="1" applyAlignment="1">
      <alignment vertical="center"/>
    </xf>
    <xf numFmtId="0" fontId="12" fillId="0" borderId="38" xfId="0" applyFont="1" applyBorder="1" applyAlignment="1">
      <alignment vertical="center"/>
    </xf>
    <xf numFmtId="0" fontId="5" fillId="0" borderId="5" xfId="0" applyFont="1" applyBorder="1" applyAlignment="1">
      <alignment horizontal="center" vertical="center"/>
    </xf>
    <xf numFmtId="166" fontId="3" fillId="0" borderId="5" xfId="0" applyNumberFormat="1" applyFont="1" applyBorder="1" applyAlignment="1">
      <alignment vertical="center"/>
    </xf>
    <xf numFmtId="0" fontId="3" fillId="0" borderId="5" xfId="0" applyFont="1" applyBorder="1" applyAlignment="1">
      <alignment horizontal="center" vertical="center"/>
    </xf>
    <xf numFmtId="2" fontId="3" fillId="0" borderId="2" xfId="0" applyNumberFormat="1" applyFont="1" applyBorder="1" applyAlignment="1">
      <alignment vertical="center"/>
    </xf>
    <xf numFmtId="0" fontId="3" fillId="0" borderId="1" xfId="0" applyFont="1" applyBorder="1" applyAlignment="1">
      <alignment horizontal="left" vertical="center" wrapText="1" indent="2"/>
    </xf>
    <xf numFmtId="0" fontId="5" fillId="2" borderId="0" xfId="0" applyFont="1" applyFill="1" applyAlignment="1">
      <alignment wrapText="1"/>
    </xf>
    <xf numFmtId="1" fontId="61" fillId="0" borderId="0" xfId="0" applyNumberFormat="1" applyFont="1" applyAlignment="1">
      <alignment horizontal="right"/>
    </xf>
    <xf numFmtId="1" fontId="61" fillId="0" borderId="0" xfId="0" applyNumberFormat="1" applyFont="1" applyAlignment="1">
      <alignment horizontal="right" wrapText="1"/>
    </xf>
    <xf numFmtId="0" fontId="61" fillId="0" borderId="0" xfId="0" applyFont="1" applyAlignment="1">
      <alignment horizontal="left" wrapText="1"/>
    </xf>
    <xf numFmtId="0" fontId="69" fillId="0" borderId="0" xfId="0" applyFont="1" applyAlignment="1">
      <alignment vertical="center"/>
    </xf>
    <xf numFmtId="2" fontId="61" fillId="0" borderId="23" xfId="0" applyNumberFormat="1" applyFont="1" applyBorder="1" applyAlignment="1">
      <alignment horizontal="right" vertical="center"/>
    </xf>
    <xf numFmtId="4" fontId="3" fillId="0" borderId="24" xfId="0" applyNumberFormat="1" applyFont="1" applyBorder="1" applyAlignment="1">
      <alignment horizontal="right" vertical="center"/>
    </xf>
    <xf numFmtId="4" fontId="3" fillId="0" borderId="1" xfId="0" applyNumberFormat="1" applyFont="1" applyBorder="1" applyAlignment="1">
      <alignment horizontal="right" vertical="center"/>
    </xf>
    <xf numFmtId="0" fontId="61" fillId="0" borderId="36" xfId="0" applyFont="1" applyBorder="1" applyAlignment="1">
      <alignment horizontal="left" vertical="center" wrapText="1"/>
    </xf>
    <xf numFmtId="4" fontId="3" fillId="0" borderId="1" xfId="0" applyNumberFormat="1" applyFont="1" applyBorder="1" applyAlignment="1">
      <alignment horizontal="right" vertical="center" wrapText="1"/>
    </xf>
    <xf numFmtId="0" fontId="3" fillId="0" borderId="36" xfId="0" applyFont="1" applyBorder="1" applyAlignment="1">
      <alignment horizontal="left" vertical="center" wrapText="1"/>
    </xf>
    <xf numFmtId="4" fontId="3" fillId="0" borderId="46" xfId="0" applyNumberFormat="1" applyFont="1" applyBorder="1" applyAlignment="1">
      <alignment horizontal="right" vertical="center"/>
    </xf>
    <xf numFmtId="4" fontId="3" fillId="0" borderId="6" xfId="0" applyNumberFormat="1" applyFont="1" applyBorder="1" applyAlignment="1">
      <alignment horizontal="right" vertical="center"/>
    </xf>
    <xf numFmtId="0" fontId="3" fillId="0" borderId="45" xfId="0" applyFont="1" applyBorder="1" applyAlignment="1">
      <alignment horizontal="left" vertical="center" wrapText="1"/>
    </xf>
    <xf numFmtId="0" fontId="5" fillId="2" borderId="0" xfId="0" applyFont="1" applyFill="1" applyAlignment="1">
      <alignment horizontal="center" vertical="top"/>
    </xf>
    <xf numFmtId="0" fontId="5" fillId="2" borderId="0" xfId="0" applyFont="1" applyFill="1" applyAlignment="1">
      <alignment horizontal="center" vertical="top" wrapText="1"/>
    </xf>
    <xf numFmtId="0" fontId="5" fillId="3" borderId="0" xfId="0" applyFont="1" applyFill="1" applyAlignment="1">
      <alignment horizontal="center" vertical="top"/>
    </xf>
    <xf numFmtId="0" fontId="5" fillId="3" borderId="0" xfId="0" applyFont="1" applyFill="1" applyAlignment="1">
      <alignment vertical="center"/>
    </xf>
    <xf numFmtId="1" fontId="66" fillId="0" borderId="0" xfId="0" applyNumberFormat="1" applyFont="1" applyAlignment="1">
      <alignment horizontal="right"/>
    </xf>
    <xf numFmtId="0" fontId="66" fillId="0" borderId="0" xfId="0" applyFont="1" applyAlignment="1">
      <alignment horizontal="right"/>
    </xf>
    <xf numFmtId="1" fontId="61" fillId="0" borderId="0" xfId="0" applyNumberFormat="1" applyFont="1" applyAlignment="1">
      <alignment horizontal="left"/>
    </xf>
    <xf numFmtId="41" fontId="3" fillId="0" borderId="23" xfId="0" applyNumberFormat="1" applyFont="1" applyBorder="1" applyAlignment="1">
      <alignment horizontal="right" vertical="center"/>
    </xf>
    <xf numFmtId="0" fontId="3" fillId="0" borderId="1" xfId="0" applyFont="1" applyBorder="1"/>
    <xf numFmtId="0" fontId="3" fillId="0" borderId="1" xfId="0" applyFont="1" applyBorder="1" applyAlignment="1">
      <alignment horizontal="right"/>
    </xf>
    <xf numFmtId="0" fontId="5" fillId="0" borderId="2" xfId="0" applyFont="1" applyBorder="1" applyAlignment="1">
      <alignment horizontal="center"/>
    </xf>
    <xf numFmtId="0" fontId="5" fillId="0" borderId="1" xfId="0" applyFont="1" applyBorder="1" applyAlignment="1">
      <alignment horizontal="center"/>
    </xf>
    <xf numFmtId="0" fontId="5" fillId="0" borderId="0" xfId="0" applyFont="1" applyAlignment="1">
      <alignment wrapText="1"/>
    </xf>
    <xf numFmtId="0" fontId="27" fillId="0" borderId="1" xfId="0" applyFont="1" applyBorder="1" applyAlignment="1">
      <alignment horizontal="center" vertical="top"/>
    </xf>
    <xf numFmtId="0" fontId="27" fillId="0" borderId="1" xfId="0" applyFont="1" applyBorder="1" applyAlignment="1">
      <alignment horizontal="center" vertical="top" wrapText="1"/>
    </xf>
    <xf numFmtId="169" fontId="3" fillId="0" borderId="2" xfId="0" applyNumberFormat="1" applyFont="1" applyBorder="1" applyAlignment="1">
      <alignment horizontal="right" vertical="center"/>
    </xf>
    <xf numFmtId="1" fontId="5" fillId="0" borderId="1" xfId="0" applyNumberFormat="1" applyFont="1" applyBorder="1" applyAlignment="1">
      <alignment vertical="center" wrapText="1"/>
    </xf>
    <xf numFmtId="166" fontId="5" fillId="0" borderId="0" xfId="0" applyNumberFormat="1" applyFont="1"/>
    <xf numFmtId="166" fontId="5" fillId="0" borderId="0" xfId="0" applyNumberFormat="1" applyFont="1" applyAlignment="1">
      <alignment vertical="center" wrapText="1"/>
    </xf>
    <xf numFmtId="0" fontId="5" fillId="0" borderId="0" xfId="0" applyFont="1" applyAlignment="1">
      <alignment vertical="center" wrapText="1"/>
    </xf>
    <xf numFmtId="1" fontId="3" fillId="0" borderId="1" xfId="0" applyNumberFormat="1" applyFont="1" applyBorder="1" applyAlignment="1">
      <alignment vertical="center" wrapText="1"/>
    </xf>
    <xf numFmtId="0" fontId="0" fillId="0" borderId="17" xfId="0" applyBorder="1" applyAlignment="1">
      <alignment vertical="center" wrapText="1"/>
    </xf>
    <xf numFmtId="166" fontId="5" fillId="0" borderId="1" xfId="0" applyNumberFormat="1" applyFont="1" applyBorder="1" applyAlignment="1">
      <alignment vertical="center"/>
    </xf>
    <xf numFmtId="166" fontId="5" fillId="0" borderId="1" xfId="0" applyNumberFormat="1" applyFont="1" applyBorder="1" applyAlignment="1">
      <alignment vertical="center" wrapText="1"/>
    </xf>
    <xf numFmtId="166" fontId="3" fillId="0" borderId="1" xfId="0" applyNumberFormat="1" applyFont="1" applyBorder="1" applyAlignment="1">
      <alignment vertical="center"/>
    </xf>
    <xf numFmtId="0" fontId="3" fillId="2" borderId="7" xfId="0" applyFont="1" applyFill="1" applyBorder="1" applyAlignment="1">
      <alignment vertical="center"/>
    </xf>
    <xf numFmtId="170" fontId="3" fillId="0" borderId="1" xfId="0" applyNumberFormat="1" applyFont="1" applyBorder="1" applyAlignment="1">
      <alignment horizontal="right" vertical="center" wrapText="1"/>
    </xf>
    <xf numFmtId="0" fontId="26" fillId="0" borderId="0" xfId="0" applyFont="1" applyAlignment="1">
      <alignment vertical="center" wrapText="1"/>
    </xf>
    <xf numFmtId="0" fontId="5" fillId="2" borderId="0" xfId="0" applyFont="1" applyFill="1" applyAlignment="1">
      <alignment vertical="center" wrapText="1"/>
    </xf>
    <xf numFmtId="0" fontId="66" fillId="2" borderId="1" xfId="0" applyFont="1" applyFill="1" applyBorder="1" applyAlignment="1">
      <alignment horizontal="center" vertical="center" wrapText="1"/>
    </xf>
    <xf numFmtId="3" fontId="3" fillId="0" borderId="1" xfId="0" applyNumberFormat="1" applyFont="1" applyBorder="1" applyAlignment="1">
      <alignment horizontal="right" vertical="center" wrapText="1"/>
    </xf>
    <xf numFmtId="0" fontId="71" fillId="0" borderId="0" xfId="0" applyFont="1"/>
    <xf numFmtId="0" fontId="71" fillId="0" borderId="0" xfId="0" applyFont="1" applyAlignment="1">
      <alignment horizontal="center"/>
    </xf>
    <xf numFmtId="0" fontId="71" fillId="0" borderId="0" xfId="0" applyFont="1" applyAlignment="1">
      <alignment vertical="center"/>
    </xf>
    <xf numFmtId="0" fontId="5" fillId="0" borderId="42" xfId="0" applyFont="1" applyBorder="1" applyAlignment="1">
      <alignment horizontal="left" vertical="center" wrapText="1" indent="1"/>
    </xf>
    <xf numFmtId="3" fontId="71" fillId="0" borderId="3" xfId="0" applyNumberFormat="1" applyFont="1" applyBorder="1" applyAlignment="1">
      <alignment vertical="center"/>
    </xf>
    <xf numFmtId="3" fontId="5" fillId="0" borderId="3" xfId="0" applyNumberFormat="1" applyFont="1" applyBorder="1" applyAlignment="1">
      <alignment vertical="center"/>
    </xf>
    <xf numFmtId="0" fontId="3" fillId="0" borderId="1" xfId="0" applyFont="1" applyBorder="1" applyAlignment="1">
      <alignment horizontal="left" vertical="center" wrapText="1" indent="1"/>
    </xf>
    <xf numFmtId="0" fontId="72" fillId="2" borderId="0" xfId="0" applyFont="1" applyFill="1" applyAlignment="1">
      <alignment horizontal="center" wrapText="1"/>
    </xf>
    <xf numFmtId="0" fontId="5" fillId="2" borderId="0" xfId="0" applyFont="1" applyFill="1" applyAlignment="1">
      <alignment horizontal="center" wrapText="1"/>
    </xf>
    <xf numFmtId="0" fontId="72" fillId="2" borderId="0" xfId="0" applyFont="1" applyFill="1" applyAlignment="1">
      <alignment horizontal="center"/>
    </xf>
    <xf numFmtId="0" fontId="5" fillId="2" borderId="45" xfId="0" applyFont="1" applyFill="1" applyBorder="1" applyAlignment="1">
      <alignment horizontal="center" vertical="center" wrapText="1"/>
    </xf>
    <xf numFmtId="0" fontId="72" fillId="0" borderId="0" xfId="0" applyFont="1" applyAlignment="1">
      <alignment vertical="center"/>
    </xf>
    <xf numFmtId="3" fontId="5" fillId="0" borderId="1" xfId="0" applyNumberFormat="1" applyFont="1" applyBorder="1" applyAlignment="1">
      <alignment vertical="center" wrapText="1"/>
    </xf>
    <xf numFmtId="3" fontId="5" fillId="0" borderId="7" xfId="0" applyNumberFormat="1" applyFont="1" applyBorder="1" applyAlignment="1">
      <alignment vertical="center"/>
    </xf>
    <xf numFmtId="3" fontId="5" fillId="0" borderId="2" xfId="0" applyNumberFormat="1" applyFont="1" applyBorder="1" applyAlignment="1">
      <alignment vertical="center"/>
    </xf>
    <xf numFmtId="0" fontId="5" fillId="0" borderId="1" xfId="0" applyFont="1" applyBorder="1" applyAlignment="1">
      <alignment horizontal="left" vertical="center" wrapText="1" indent="1"/>
    </xf>
    <xf numFmtId="3" fontId="3" fillId="0" borderId="1" xfId="0" applyNumberFormat="1" applyFont="1" applyBorder="1" applyAlignment="1">
      <alignment vertical="center" wrapText="1"/>
    </xf>
    <xf numFmtId="3" fontId="3" fillId="0" borderId="2" xfId="0" applyNumberFormat="1" applyFont="1" applyBorder="1" applyAlignment="1">
      <alignment vertical="center" wrapText="1"/>
    </xf>
    <xf numFmtId="0" fontId="5" fillId="0" borderId="1" xfId="0" applyFont="1" applyBorder="1" applyAlignment="1">
      <alignment horizontal="left" vertical="center" wrapText="1" indent="2"/>
    </xf>
    <xf numFmtId="0" fontId="3" fillId="2" borderId="0" xfId="0" applyFont="1" applyFill="1" applyAlignment="1">
      <alignment horizontal="center" wrapText="1"/>
    </xf>
    <xf numFmtId="0" fontId="0" fillId="0" borderId="0" xfId="0" applyAlignment="1">
      <alignment wrapText="1"/>
    </xf>
    <xf numFmtId="3" fontId="2" fillId="0" borderId="3" xfId="0" applyNumberFormat="1" applyFont="1" applyBorder="1" applyAlignment="1">
      <alignment vertical="center"/>
    </xf>
    <xf numFmtId="3" fontId="2" fillId="0" borderId="58" xfId="0" applyNumberFormat="1" applyFont="1" applyBorder="1" applyAlignment="1">
      <alignment vertical="center"/>
    </xf>
    <xf numFmtId="0" fontId="2" fillId="0" borderId="3" xfId="0" applyFont="1" applyBorder="1" applyAlignment="1">
      <alignment horizontal="left" vertical="center" wrapText="1" indent="1"/>
    </xf>
    <xf numFmtId="0" fontId="2" fillId="0" borderId="41" xfId="0" applyFont="1" applyBorder="1" applyAlignment="1">
      <alignment horizontal="center" vertical="center"/>
    </xf>
    <xf numFmtId="3" fontId="0" fillId="0" borderId="1" xfId="0" applyNumberFormat="1" applyBorder="1" applyAlignment="1">
      <alignment vertical="center"/>
    </xf>
    <xf numFmtId="3" fontId="0" fillId="0" borderId="2" xfId="0" applyNumberFormat="1" applyBorder="1" applyAlignment="1">
      <alignment vertical="center"/>
    </xf>
    <xf numFmtId="0" fontId="0" fillId="0" borderId="1" xfId="0" applyBorder="1" applyAlignment="1">
      <alignment horizontal="left" vertical="center" wrapText="1" indent="1"/>
    </xf>
    <xf numFmtId="0" fontId="0" fillId="0" borderId="2" xfId="0" applyBorder="1" applyAlignment="1">
      <alignment vertical="center"/>
    </xf>
    <xf numFmtId="0" fontId="2" fillId="0" borderId="0" xfId="0" applyFont="1" applyAlignment="1">
      <alignment horizontal="center" vertical="center" wrapText="1"/>
    </xf>
    <xf numFmtId="0" fontId="2" fillId="0" borderId="0" xfId="0" applyFont="1" applyAlignment="1">
      <alignment vertical="center"/>
    </xf>
    <xf numFmtId="0" fontId="25" fillId="0" borderId="0" xfId="0" applyFont="1"/>
    <xf numFmtId="0" fontId="11" fillId="0" borderId="33" xfId="0" applyFont="1" applyBorder="1" applyAlignment="1">
      <alignment vertical="top"/>
    </xf>
    <xf numFmtId="41" fontId="3" fillId="0" borderId="24" xfId="0" applyNumberFormat="1" applyFont="1" applyBorder="1"/>
    <xf numFmtId="41" fontId="3" fillId="0" borderId="1" xfId="0" applyNumberFormat="1" applyFont="1" applyBorder="1"/>
    <xf numFmtId="0" fontId="0" fillId="0" borderId="36" xfId="0" applyBorder="1"/>
    <xf numFmtId="41" fontId="3" fillId="0" borderId="1" xfId="0" applyNumberFormat="1" applyFont="1" applyBorder="1" applyAlignment="1">
      <alignment horizontal="right"/>
    </xf>
    <xf numFmtId="0" fontId="3" fillId="0" borderId="36" xfId="0" applyFont="1" applyBorder="1"/>
    <xf numFmtId="0" fontId="25" fillId="0" borderId="0" xfId="0" applyFont="1" applyAlignment="1">
      <alignment wrapText="1"/>
    </xf>
    <xf numFmtId="0" fontId="3" fillId="0" borderId="35" xfId="0" applyFont="1" applyBorder="1" applyAlignment="1">
      <alignment vertical="center" wrapText="1"/>
    </xf>
    <xf numFmtId="0" fontId="3" fillId="0" borderId="24" xfId="0" applyFont="1" applyBorder="1" applyAlignment="1">
      <alignment horizontal="left" vertical="center" wrapText="1"/>
    </xf>
    <xf numFmtId="166" fontId="3" fillId="0" borderId="6" xfId="0" applyNumberFormat="1" applyFont="1" applyBorder="1" applyAlignment="1">
      <alignment vertical="center" wrapText="1"/>
    </xf>
    <xf numFmtId="0" fontId="5" fillId="0" borderId="50" xfId="0" applyFont="1" applyBorder="1" applyAlignment="1">
      <alignment horizontal="left" vertical="center" wrapText="1"/>
    </xf>
    <xf numFmtId="166" fontId="3" fillId="0" borderId="4" xfId="0" applyNumberFormat="1" applyFont="1" applyBorder="1" applyAlignment="1">
      <alignment horizontal="right" vertical="center" wrapText="1"/>
    </xf>
    <xf numFmtId="166" fontId="3" fillId="0" borderId="7" xfId="0" applyNumberFormat="1" applyFont="1" applyBorder="1" applyAlignment="1">
      <alignment horizontal="right" vertical="center" wrapText="1"/>
    </xf>
    <xf numFmtId="166" fontId="3" fillId="0" borderId="1" xfId="0" applyNumberFormat="1" applyFont="1" applyBorder="1" applyAlignment="1">
      <alignment horizontal="right" vertical="center" wrapText="1"/>
    </xf>
    <xf numFmtId="166" fontId="3" fillId="0" borderId="3" xfId="0" applyNumberFormat="1" applyFont="1" applyBorder="1" applyAlignment="1">
      <alignment vertical="center" wrapText="1"/>
    </xf>
    <xf numFmtId="0" fontId="3" fillId="0" borderId="24" xfId="0" applyFont="1" applyBorder="1" applyAlignment="1">
      <alignment vertical="center" wrapText="1"/>
    </xf>
    <xf numFmtId="2" fontId="3" fillId="0" borderId="1" xfId="0" applyNumberFormat="1" applyFont="1" applyBorder="1" applyAlignment="1">
      <alignment vertical="center" wrapText="1"/>
    </xf>
    <xf numFmtId="0" fontId="3" fillId="0" borderId="1" xfId="1" applyFont="1" applyBorder="1" applyAlignment="1">
      <alignment horizontal="right" vertical="center" wrapText="1"/>
    </xf>
    <xf numFmtId="0" fontId="3" fillId="0" borderId="1" xfId="1" applyFont="1" applyBorder="1" applyAlignment="1">
      <alignment vertical="center" wrapText="1"/>
    </xf>
    <xf numFmtId="2" fontId="3" fillId="0" borderId="1" xfId="1" applyNumberFormat="1" applyFont="1" applyBorder="1" applyAlignment="1">
      <alignment vertical="center" wrapText="1"/>
    </xf>
    <xf numFmtId="2" fontId="3" fillId="0" borderId="1" xfId="1" applyNumberFormat="1" applyFont="1" applyBorder="1" applyAlignment="1">
      <alignment horizontal="right" vertical="center" wrapText="1"/>
    </xf>
    <xf numFmtId="0" fontId="5" fillId="0" borderId="1" xfId="1" applyFont="1" applyBorder="1" applyAlignment="1">
      <alignment horizontal="left" vertical="center" wrapText="1"/>
    </xf>
    <xf numFmtId="0" fontId="3" fillId="0" borderId="1" xfId="1" applyFont="1" applyBorder="1" applyAlignment="1">
      <alignment horizontal="left" vertical="center" wrapText="1"/>
    </xf>
    <xf numFmtId="2" fontId="3" fillId="0" borderId="6" xfId="1" applyNumberFormat="1" applyFont="1" applyBorder="1" applyAlignment="1">
      <alignment vertical="center" wrapText="1"/>
    </xf>
    <xf numFmtId="0" fontId="3" fillId="0" borderId="6" xfId="1" applyFont="1" applyBorder="1" applyAlignment="1">
      <alignment vertical="center" wrapText="1"/>
    </xf>
    <xf numFmtId="2" fontId="3" fillId="0" borderId="6" xfId="1" applyNumberFormat="1" applyFont="1" applyBorder="1" applyAlignment="1">
      <alignment horizontal="right" vertical="center" wrapText="1"/>
    </xf>
    <xf numFmtId="0" fontId="3" fillId="0" borderId="2" xfId="1" applyFont="1" applyBorder="1" applyAlignment="1">
      <alignment horizontal="center" vertical="center" wrapText="1"/>
    </xf>
    <xf numFmtId="0" fontId="5" fillId="0" borderId="7" xfId="1" applyFont="1" applyBorder="1" applyAlignment="1">
      <alignment horizontal="left" vertical="center" wrapText="1"/>
    </xf>
    <xf numFmtId="2" fontId="3" fillId="0" borderId="3" xfId="1" applyNumberFormat="1" applyFont="1" applyBorder="1" applyAlignment="1">
      <alignment vertical="center" wrapText="1"/>
    </xf>
    <xf numFmtId="0" fontId="3" fillId="0" borderId="3" xfId="1" applyFont="1" applyBorder="1" applyAlignment="1">
      <alignment vertical="center" wrapText="1"/>
    </xf>
    <xf numFmtId="2" fontId="3" fillId="0" borderId="3" xfId="1" applyNumberFormat="1" applyFont="1" applyBorder="1" applyAlignment="1">
      <alignment horizontal="right" vertical="center" wrapText="1"/>
    </xf>
    <xf numFmtId="0" fontId="1" fillId="2" borderId="0" xfId="0" applyFont="1" applyFill="1" applyAlignment="1">
      <alignment vertical="center"/>
    </xf>
    <xf numFmtId="0" fontId="5" fillId="2" borderId="1" xfId="1" applyFont="1" applyFill="1" applyBorder="1" applyAlignment="1">
      <alignment horizontal="center" vertical="center" wrapText="1"/>
    </xf>
    <xf numFmtId="0" fontId="5" fillId="2" borderId="3" xfId="1" applyFont="1" applyFill="1" applyBorder="1" applyAlignment="1">
      <alignment horizontal="center" vertical="center" wrapText="1"/>
    </xf>
    <xf numFmtId="0" fontId="9" fillId="0" borderId="0" xfId="0" applyFont="1" applyAlignment="1">
      <alignment horizontal="center" vertical="center"/>
    </xf>
    <xf numFmtId="0" fontId="3" fillId="0" borderId="22" xfId="0" applyFont="1" applyBorder="1"/>
    <xf numFmtId="165" fontId="5" fillId="0" borderId="0" xfId="0" applyNumberFormat="1" applyFont="1" applyAlignment="1">
      <alignment horizontal="right"/>
    </xf>
    <xf numFmtId="167" fontId="5" fillId="0" borderId="0" xfId="0" applyNumberFormat="1" applyFont="1" applyAlignment="1">
      <alignment horizontal="right"/>
    </xf>
    <xf numFmtId="2" fontId="5" fillId="0" borderId="0" xfId="0" applyNumberFormat="1" applyFont="1" applyAlignment="1">
      <alignment horizontal="right"/>
    </xf>
    <xf numFmtId="0" fontId="39" fillId="5" borderId="24" xfId="0" applyFont="1" applyFill="1" applyBorder="1" applyAlignment="1">
      <alignment horizontal="left" vertical="top" wrapText="1"/>
    </xf>
    <xf numFmtId="4" fontId="39" fillId="5" borderId="1" xfId="0" applyNumberFormat="1" applyFont="1" applyFill="1" applyBorder="1" applyAlignment="1">
      <alignment horizontal="right" vertical="top" wrapText="1"/>
    </xf>
    <xf numFmtId="4" fontId="39" fillId="5" borderId="2" xfId="0" applyNumberFormat="1" applyFont="1" applyFill="1" applyBorder="1" applyAlignment="1">
      <alignment horizontal="right" vertical="top" wrapText="1"/>
    </xf>
    <xf numFmtId="0" fontId="39" fillId="5" borderId="7" xfId="0" applyFont="1" applyFill="1" applyBorder="1" applyAlignment="1">
      <alignment horizontal="left" vertical="top" wrapText="1"/>
    </xf>
    <xf numFmtId="0" fontId="39" fillId="5" borderId="1" xfId="0" applyFont="1" applyFill="1" applyBorder="1" applyAlignment="1">
      <alignment horizontal="right" vertical="top" wrapText="1"/>
    </xf>
    <xf numFmtId="0" fontId="39" fillId="5" borderId="1" xfId="0" applyFont="1" applyFill="1" applyBorder="1" applyAlignment="1">
      <alignment horizontal="left" vertical="top" wrapText="1"/>
    </xf>
    <xf numFmtId="0" fontId="40" fillId="5" borderId="1" xfId="0" applyFont="1" applyFill="1" applyBorder="1" applyAlignment="1">
      <alignment horizontal="center" vertical="top" wrapText="1"/>
    </xf>
    <xf numFmtId="0" fontId="5" fillId="0" borderId="1" xfId="0" applyFont="1" applyBorder="1"/>
    <xf numFmtId="165" fontId="5" fillId="0" borderId="1" xfId="0" applyNumberFormat="1" applyFont="1" applyBorder="1" applyAlignment="1">
      <alignment horizontal="right"/>
    </xf>
    <xf numFmtId="167" fontId="5" fillId="0" borderId="1" xfId="0" applyNumberFormat="1" applyFont="1" applyBorder="1" applyAlignment="1">
      <alignment horizontal="right"/>
    </xf>
    <xf numFmtId="2" fontId="5" fillId="0" borderId="1" xfId="0" applyNumberFormat="1" applyFont="1" applyBorder="1" applyAlignment="1">
      <alignment horizontal="right"/>
    </xf>
    <xf numFmtId="0" fontId="40" fillId="5" borderId="1" xfId="0" applyFont="1" applyFill="1" applyBorder="1" applyAlignment="1">
      <alignment horizontal="left" vertical="top" wrapText="1"/>
    </xf>
    <xf numFmtId="4" fontId="40" fillId="5" borderId="1" xfId="0" applyNumberFormat="1" applyFont="1" applyFill="1" applyBorder="1" applyAlignment="1">
      <alignment horizontal="right" vertical="top" wrapText="1"/>
    </xf>
    <xf numFmtId="4" fontId="40" fillId="5" borderId="2" xfId="0" applyNumberFormat="1" applyFont="1" applyFill="1" applyBorder="1" applyAlignment="1">
      <alignment horizontal="right" vertical="top" wrapText="1"/>
    </xf>
    <xf numFmtId="0" fontId="40" fillId="5" borderId="7" xfId="0" applyFont="1" applyFill="1" applyBorder="1" applyAlignment="1">
      <alignment horizontal="left" vertical="top" wrapText="1"/>
    </xf>
    <xf numFmtId="0" fontId="40" fillId="5" borderId="1" xfId="0" applyFont="1" applyFill="1" applyBorder="1" applyAlignment="1">
      <alignment horizontal="right" vertical="top" wrapText="1"/>
    </xf>
    <xf numFmtId="2" fontId="3" fillId="0" borderId="1" xfId="0" applyNumberFormat="1" applyFont="1" applyBorder="1" applyAlignment="1">
      <alignment horizontal="right"/>
    </xf>
    <xf numFmtId="0" fontId="3" fillId="0" borderId="3" xfId="0" applyFont="1" applyBorder="1"/>
    <xf numFmtId="0" fontId="5" fillId="0" borderId="3" xfId="0" applyFont="1" applyBorder="1" applyAlignment="1">
      <alignment horizontal="right" vertical="center"/>
    </xf>
    <xf numFmtId="0" fontId="3" fillId="0" borderId="3" xfId="0" applyFont="1" applyBorder="1" applyAlignment="1">
      <alignment horizontal="right" vertical="center" wrapText="1"/>
    </xf>
    <xf numFmtId="0" fontId="3" fillId="0" borderId="3" xfId="0" applyFont="1" applyBorder="1" applyAlignment="1">
      <alignment horizontal="right" vertical="center"/>
    </xf>
    <xf numFmtId="0" fontId="3" fillId="0" borderId="3" xfId="0" applyFont="1" applyBorder="1" applyAlignment="1">
      <alignment horizontal="center"/>
    </xf>
    <xf numFmtId="2" fontId="3" fillId="0" borderId="3" xfId="0" applyNumberFormat="1" applyFont="1" applyBorder="1" applyAlignment="1">
      <alignment horizontal="right"/>
    </xf>
    <xf numFmtId="165" fontId="3" fillId="0" borderId="1" xfId="0" applyNumberFormat="1" applyFont="1" applyBorder="1" applyAlignment="1">
      <alignment horizontal="right"/>
    </xf>
    <xf numFmtId="0" fontId="5" fillId="4" borderId="1" xfId="78" applyFont="1" applyBorder="1" applyAlignment="1">
      <alignment horizontal="left" vertical="top"/>
    </xf>
    <xf numFmtId="0" fontId="5" fillId="4" borderId="1" xfId="78" applyFont="1" applyBorder="1" applyAlignment="1">
      <alignment horizontal="left" vertical="top" wrapText="1"/>
    </xf>
    <xf numFmtId="0" fontId="5" fillId="4" borderId="1" xfId="78" applyFont="1" applyBorder="1" applyAlignment="1">
      <alignment horizontal="center" vertical="top" wrapText="1"/>
    </xf>
    <xf numFmtId="0" fontId="5" fillId="4" borderId="7" xfId="78" applyFont="1" applyBorder="1" applyAlignment="1">
      <alignment horizontal="left" vertical="top"/>
    </xf>
    <xf numFmtId="0" fontId="27" fillId="2" borderId="1" xfId="0" applyFont="1" applyFill="1" applyBorder="1" applyAlignment="1">
      <alignment horizontal="left" vertical="top" wrapText="1"/>
    </xf>
    <xf numFmtId="0" fontId="27" fillId="2" borderId="1" xfId="0" applyFont="1" applyFill="1" applyBorder="1" applyAlignment="1">
      <alignment horizontal="center" vertical="top" wrapText="1"/>
    </xf>
    <xf numFmtId="0" fontId="3" fillId="0" borderId="23" xfId="0" applyFont="1" applyBorder="1" applyAlignment="1">
      <alignment horizontal="center" vertical="center" wrapText="1"/>
    </xf>
    <xf numFmtId="0" fontId="41" fillId="0" borderId="0" xfId="92" applyFill="1"/>
    <xf numFmtId="0" fontId="2" fillId="0" borderId="42" xfId="0" applyFont="1" applyBorder="1" applyAlignment="1">
      <alignment vertical="center"/>
    </xf>
    <xf numFmtId="0" fontId="0" fillId="0" borderId="24" xfId="0" applyBorder="1" applyAlignment="1">
      <alignment horizontal="left" vertical="center"/>
    </xf>
    <xf numFmtId="0" fontId="2" fillId="0" borderId="24" xfId="0" applyFont="1" applyBorder="1" applyAlignment="1">
      <alignment horizontal="left" vertical="center"/>
    </xf>
    <xf numFmtId="0" fontId="0" fillId="0" borderId="24" xfId="0" applyBorder="1" applyAlignment="1">
      <alignment vertical="center"/>
    </xf>
    <xf numFmtId="0" fontId="2" fillId="0" borderId="46" xfId="0" applyFont="1" applyBorder="1" applyAlignment="1">
      <alignment vertical="center"/>
    </xf>
    <xf numFmtId="0" fontId="5" fillId="0" borderId="0" xfId="0" applyFont="1" applyAlignment="1">
      <alignment horizontal="right" wrapText="1"/>
    </xf>
    <xf numFmtId="0" fontId="5" fillId="0" borderId="16" xfId="0" applyFont="1" applyBorder="1" applyAlignment="1">
      <alignment horizontal="right" wrapText="1"/>
    </xf>
    <xf numFmtId="0" fontId="5" fillId="0" borderId="16" xfId="0" applyFont="1" applyBorder="1" applyAlignment="1">
      <alignment horizontal="center" wrapText="1"/>
    </xf>
    <xf numFmtId="0" fontId="5" fillId="0" borderId="16" xfId="0" applyFont="1" applyBorder="1" applyAlignment="1">
      <alignment wrapText="1"/>
    </xf>
    <xf numFmtId="3" fontId="5" fillId="0" borderId="3" xfId="0" applyNumberFormat="1" applyFont="1" applyBorder="1" applyAlignment="1">
      <alignment horizontal="right" vertical="center" wrapText="1"/>
    </xf>
    <xf numFmtId="0" fontId="5" fillId="0" borderId="3" xfId="0" applyFont="1" applyBorder="1" applyAlignment="1">
      <alignment horizontal="right" vertical="center" wrapText="1"/>
    </xf>
    <xf numFmtId="0" fontId="5" fillId="0" borderId="3" xfId="0" applyFont="1" applyBorder="1" applyAlignment="1">
      <alignment horizontal="center" vertical="center" wrapText="1"/>
    </xf>
    <xf numFmtId="0" fontId="5" fillId="0" borderId="58" xfId="0" applyFont="1" applyBorder="1" applyAlignment="1">
      <alignment vertical="center" wrapText="1"/>
    </xf>
    <xf numFmtId="0" fontId="5" fillId="0" borderId="3" xfId="0" applyFont="1" applyBorder="1" applyAlignment="1">
      <alignment horizontal="left" vertical="center"/>
    </xf>
    <xf numFmtId="0" fontId="3" fillId="0" borderId="41" xfId="0" applyFont="1" applyBorder="1" applyAlignment="1">
      <alignment horizontal="center" vertical="center"/>
    </xf>
    <xf numFmtId="0" fontId="3" fillId="0" borderId="1" xfId="2" applyFont="1" applyBorder="1" applyAlignment="1">
      <alignment horizontal="left" vertical="center"/>
    </xf>
    <xf numFmtId="0" fontId="3" fillId="0" borderId="36" xfId="2" applyFont="1" applyBorder="1" applyAlignment="1">
      <alignment horizontal="center" vertical="center" wrapText="1"/>
    </xf>
    <xf numFmtId="0" fontId="5" fillId="0" borderId="1" xfId="2" applyFont="1" applyBorder="1" applyAlignment="1">
      <alignment horizontal="left" vertical="center" wrapText="1"/>
    </xf>
    <xf numFmtId="0" fontId="5" fillId="0" borderId="36" xfId="2" applyFont="1" applyBorder="1" applyAlignment="1">
      <alignment horizontal="left" vertical="center" wrapText="1"/>
    </xf>
    <xf numFmtId="0" fontId="3" fillId="0" borderId="5" xfId="0" applyFont="1" applyBorder="1" applyAlignment="1">
      <alignment horizontal="center" vertical="center" wrapText="1"/>
    </xf>
    <xf numFmtId="3" fontId="5" fillId="0" borderId="1" xfId="0" applyNumberFormat="1" applyFont="1" applyBorder="1"/>
    <xf numFmtId="0" fontId="74" fillId="0" borderId="1" xfId="0" applyFont="1" applyBorder="1" applyAlignment="1">
      <alignment horizontal="left" vertical="center"/>
    </xf>
    <xf numFmtId="0" fontId="9" fillId="0" borderId="1" xfId="0" applyFont="1" applyBorder="1" applyAlignment="1">
      <alignment horizontal="right" wrapText="1"/>
    </xf>
    <xf numFmtId="0" fontId="76" fillId="0" borderId="1" xfId="93" applyFont="1" applyBorder="1" applyAlignment="1">
      <alignment horizontal="right"/>
    </xf>
    <xf numFmtId="0" fontId="9" fillId="0" borderId="1" xfId="0" applyFont="1" applyBorder="1"/>
    <xf numFmtId="0" fontId="25" fillId="0" borderId="1" xfId="0" applyFont="1" applyBorder="1" applyAlignment="1">
      <alignment horizontal="right"/>
    </xf>
    <xf numFmtId="0" fontId="3" fillId="0" borderId="2" xfId="0" applyFont="1" applyBorder="1"/>
    <xf numFmtId="0" fontId="5" fillId="0" borderId="5" xfId="3" applyFont="1" applyBorder="1" applyAlignment="1">
      <alignment horizontal="center" vertical="center"/>
    </xf>
    <xf numFmtId="0" fontId="3" fillId="0" borderId="22" xfId="3" applyFont="1" applyBorder="1" applyAlignment="1">
      <alignment vertical="center"/>
    </xf>
    <xf numFmtId="0" fontId="3" fillId="0" borderId="22" xfId="0" applyFont="1" applyBorder="1" applyAlignment="1">
      <alignment horizontal="left" vertical="top"/>
    </xf>
    <xf numFmtId="4" fontId="3" fillId="0" borderId="24" xfId="0" quotePrefix="1" applyNumberFormat="1" applyFont="1" applyBorder="1" applyAlignment="1">
      <alignment horizontal="right" vertical="center"/>
    </xf>
    <xf numFmtId="4" fontId="3" fillId="0" borderId="49" xfId="0" applyNumberFormat="1" applyFont="1" applyBorder="1" applyAlignment="1">
      <alignment horizontal="right" vertical="center"/>
    </xf>
    <xf numFmtId="4" fontId="3" fillId="0" borderId="42" xfId="0" applyNumberFormat="1" applyFont="1" applyBorder="1" applyAlignment="1">
      <alignment horizontal="right" vertical="center"/>
    </xf>
    <xf numFmtId="0" fontId="5" fillId="2" borderId="0" xfId="0" applyFont="1" applyFill="1" applyAlignment="1">
      <alignment vertical="center"/>
    </xf>
    <xf numFmtId="0" fontId="5" fillId="0" borderId="22" xfId="0" applyFont="1" applyBorder="1" applyAlignment="1">
      <alignment vertical="center"/>
    </xf>
    <xf numFmtId="49" fontId="3" fillId="0" borderId="0" xfId="0" applyNumberFormat="1" applyFont="1"/>
    <xf numFmtId="49" fontId="3" fillId="0" borderId="33" xfId="0" applyNumberFormat="1" applyFont="1" applyBorder="1"/>
    <xf numFmtId="0" fontId="25" fillId="2" borderId="0" xfId="0" applyFont="1" applyFill="1" applyAlignment="1">
      <alignment horizontal="center" vertical="center"/>
    </xf>
    <xf numFmtId="0" fontId="5" fillId="0" borderId="5" xfId="0" applyFont="1" applyBorder="1" applyAlignment="1">
      <alignment horizontal="center" vertical="center" wrapText="1"/>
    </xf>
    <xf numFmtId="49" fontId="3" fillId="0" borderId="38" xfId="0" applyNumberFormat="1" applyFont="1" applyBorder="1" applyAlignment="1">
      <alignment vertical="center"/>
    </xf>
    <xf numFmtId="0" fontId="5" fillId="0" borderId="5" xfId="0" applyFont="1" applyBorder="1" applyAlignment="1">
      <alignment vertical="center" wrapText="1"/>
    </xf>
    <xf numFmtId="0" fontId="51" fillId="0" borderId="0" xfId="10" applyFont="1" applyAlignment="1">
      <alignment vertical="center"/>
    </xf>
    <xf numFmtId="1" fontId="51" fillId="0" borderId="0" xfId="10" applyNumberFormat="1" applyFont="1" applyAlignment="1">
      <alignment vertical="center"/>
    </xf>
    <xf numFmtId="1" fontId="77" fillId="0" borderId="0" xfId="10" applyNumberFormat="1" applyFont="1" applyAlignment="1">
      <alignment vertical="center"/>
    </xf>
    <xf numFmtId="0" fontId="51" fillId="0" borderId="0" xfId="10" applyFont="1" applyAlignment="1">
      <alignment horizontal="center" vertical="center"/>
    </xf>
    <xf numFmtId="1" fontId="80" fillId="0" borderId="0" xfId="10" applyNumberFormat="1" applyFont="1" applyAlignment="1">
      <alignment horizontal="center" vertical="center"/>
    </xf>
    <xf numFmtId="1" fontId="5" fillId="0" borderId="15" xfId="10" applyNumberFormat="1" applyFont="1" applyBorder="1" applyAlignment="1">
      <alignment horizontal="right" vertical="center"/>
    </xf>
    <xf numFmtId="1" fontId="5" fillId="0" borderId="3" xfId="10" applyNumberFormat="1" applyFont="1" applyBorder="1" applyAlignment="1">
      <alignment horizontal="right" vertical="center"/>
    </xf>
    <xf numFmtId="1" fontId="59" fillId="0" borderId="0" xfId="10" applyNumberFormat="1" applyFont="1" applyAlignment="1">
      <alignment horizontal="center" vertical="center"/>
    </xf>
    <xf numFmtId="1" fontId="5" fillId="0" borderId="7" xfId="10" applyNumberFormat="1" applyFont="1" applyBorder="1" applyAlignment="1">
      <alignment horizontal="right" vertical="center"/>
    </xf>
    <xf numFmtId="1" fontId="5" fillId="0" borderId="1" xfId="10" applyNumberFormat="1" applyFont="1" applyBorder="1" applyAlignment="1">
      <alignment horizontal="right" vertical="center"/>
    </xf>
    <xf numFmtId="1" fontId="5" fillId="0" borderId="2" xfId="10" applyNumberFormat="1" applyFont="1" applyBorder="1" applyAlignment="1">
      <alignment horizontal="right" vertical="center"/>
    </xf>
    <xf numFmtId="1" fontId="70" fillId="0" borderId="0" xfId="94" applyNumberFormat="1" applyFont="1" applyAlignment="1">
      <alignment horizontal="right" vertical="center"/>
    </xf>
    <xf numFmtId="0" fontId="70" fillId="0" borderId="0" xfId="94" applyFont="1" applyAlignment="1">
      <alignment horizontal="right" vertical="center"/>
    </xf>
    <xf numFmtId="0" fontId="70" fillId="0" borderId="0" xfId="94" applyFont="1" applyAlignment="1">
      <alignment vertical="center"/>
    </xf>
    <xf numFmtId="1" fontId="77" fillId="0" borderId="1" xfId="0" applyNumberFormat="1" applyFont="1" applyBorder="1" applyAlignment="1">
      <alignment horizontal="right" vertical="center"/>
    </xf>
    <xf numFmtId="1" fontId="77" fillId="0" borderId="2" xfId="0" applyNumberFormat="1" applyFont="1" applyBorder="1" applyAlignment="1">
      <alignment horizontal="right" vertical="center"/>
    </xf>
    <xf numFmtId="0" fontId="1" fillId="0" borderId="1" xfId="0" applyFont="1" applyBorder="1" applyAlignment="1">
      <alignment horizontal="left" indent="2"/>
    </xf>
    <xf numFmtId="1" fontId="70" fillId="0" borderId="0" xfId="94" applyNumberFormat="1" applyFont="1" applyAlignment="1">
      <alignment horizontal="center" vertical="center"/>
    </xf>
    <xf numFmtId="0" fontId="70" fillId="0" borderId="0" xfId="94" applyFont="1" applyAlignment="1">
      <alignment horizontal="center" vertical="center"/>
    </xf>
    <xf numFmtId="1" fontId="81" fillId="0" borderId="6" xfId="0" applyNumberFormat="1" applyFont="1" applyBorder="1" applyAlignment="1">
      <alignment horizontal="right" vertical="center"/>
    </xf>
    <xf numFmtId="1" fontId="81" fillId="0" borderId="1" xfId="0" applyNumberFormat="1" applyFont="1" applyBorder="1" applyAlignment="1">
      <alignment horizontal="right" vertical="center"/>
    </xf>
    <xf numFmtId="1" fontId="77" fillId="0" borderId="6" xfId="0" applyNumberFormat="1" applyFont="1" applyBorder="1" applyAlignment="1">
      <alignment horizontal="right" vertical="center"/>
    </xf>
    <xf numFmtId="1" fontId="81" fillId="0" borderId="2" xfId="0" applyNumberFormat="1" applyFont="1" applyBorder="1" applyAlignment="1">
      <alignment horizontal="right" vertical="center"/>
    </xf>
    <xf numFmtId="1" fontId="70" fillId="0" borderId="6" xfId="94" applyNumberFormat="1" applyFont="1" applyBorder="1" applyAlignment="1">
      <alignment horizontal="right" vertical="center"/>
    </xf>
    <xf numFmtId="0" fontId="83" fillId="0" borderId="0" xfId="94" applyFont="1" applyAlignment="1">
      <alignment horizontal="center" vertical="center"/>
    </xf>
    <xf numFmtId="0" fontId="70" fillId="0" borderId="0" xfId="94" applyFont="1" applyAlignment="1">
      <alignment vertical="center" wrapText="1"/>
    </xf>
    <xf numFmtId="1" fontId="77" fillId="0" borderId="56" xfId="0" applyNumberFormat="1" applyFont="1" applyBorder="1" applyAlignment="1">
      <alignment horizontal="right" vertical="center"/>
    </xf>
    <xf numFmtId="0" fontId="1" fillId="0" borderId="1" xfId="0" applyFont="1" applyBorder="1" applyAlignment="1">
      <alignment horizontal="left" wrapText="1" indent="2"/>
    </xf>
    <xf numFmtId="1" fontId="3" fillId="0" borderId="1" xfId="10" applyNumberFormat="1" applyFont="1" applyBorder="1" applyAlignment="1">
      <alignment horizontal="left" indent="2"/>
    </xf>
    <xf numFmtId="1" fontId="3" fillId="0" borderId="7" xfId="10" applyNumberFormat="1" applyFont="1" applyBorder="1" applyAlignment="1">
      <alignment horizontal="right" vertical="center"/>
    </xf>
    <xf numFmtId="1" fontId="3" fillId="0" borderId="1" xfId="10" applyNumberFormat="1" applyFont="1" applyBorder="1" applyAlignment="1">
      <alignment horizontal="right" vertical="center"/>
    </xf>
    <xf numFmtId="1" fontId="3" fillId="0" borderId="2" xfId="10" applyNumberFormat="1" applyFont="1" applyBorder="1" applyAlignment="1">
      <alignment horizontal="right" vertical="center" wrapText="1"/>
    </xf>
    <xf numFmtId="0" fontId="3" fillId="0" borderId="1" xfId="10" applyFont="1" applyBorder="1"/>
    <xf numFmtId="1" fontId="84" fillId="0" borderId="0" xfId="94" applyNumberFormat="1" applyFont="1" applyAlignment="1">
      <alignment horizontal="center" vertical="center" wrapText="1"/>
    </xf>
    <xf numFmtId="0" fontId="84" fillId="0" borderId="0" xfId="94" applyFont="1" applyAlignment="1">
      <alignment horizontal="center" vertical="center" wrapText="1"/>
    </xf>
    <xf numFmtId="1" fontId="84" fillId="0" borderId="1" xfId="0" applyNumberFormat="1" applyFont="1" applyBorder="1" applyAlignment="1">
      <alignment horizontal="right" vertical="center" wrapText="1"/>
    </xf>
    <xf numFmtId="1" fontId="84" fillId="0" borderId="2" xfId="0" applyNumberFormat="1" applyFont="1" applyBorder="1" applyAlignment="1">
      <alignment horizontal="right" vertical="center" wrapText="1"/>
    </xf>
    <xf numFmtId="0" fontId="84" fillId="0" borderId="1" xfId="94" applyFont="1" applyBorder="1" applyAlignment="1">
      <alignment horizontal="right" vertical="center" wrapText="1"/>
    </xf>
    <xf numFmtId="1" fontId="3" fillId="0" borderId="2" xfId="10" applyNumberFormat="1" applyFont="1" applyBorder="1" applyAlignment="1">
      <alignment horizontal="right" vertical="center"/>
    </xf>
    <xf numFmtId="1" fontId="70" fillId="0" borderId="1" xfId="94" applyNumberFormat="1" applyFont="1" applyBorder="1" applyAlignment="1">
      <alignment horizontal="right" vertical="center"/>
    </xf>
    <xf numFmtId="0" fontId="0" fillId="0" borderId="1" xfId="0" applyBorder="1" applyAlignment="1">
      <alignment horizontal="left" indent="2"/>
    </xf>
    <xf numFmtId="0" fontId="51" fillId="0" borderId="0" xfId="10" applyFont="1" applyAlignment="1">
      <alignment horizontal="right" vertical="center"/>
    </xf>
    <xf numFmtId="0" fontId="0" fillId="0" borderId="1" xfId="0" applyBorder="1" applyAlignment="1">
      <alignment horizontal="left" indent="1"/>
    </xf>
    <xf numFmtId="1" fontId="80" fillId="2" borderId="0" xfId="10" applyNumberFormat="1" applyFont="1" applyFill="1" applyAlignment="1">
      <alignment horizontal="center" vertical="center"/>
    </xf>
    <xf numFmtId="1" fontId="5" fillId="2" borderId="0" xfId="10" applyNumberFormat="1" applyFont="1" applyFill="1" applyAlignment="1">
      <alignment horizontal="center" vertical="center" wrapText="1"/>
    </xf>
    <xf numFmtId="1" fontId="5" fillId="2" borderId="6" xfId="10" applyNumberFormat="1" applyFont="1" applyFill="1" applyBorder="1" applyAlignment="1">
      <alignment horizontal="center" vertical="center" wrapText="1"/>
    </xf>
    <xf numFmtId="1" fontId="5" fillId="2" borderId="56" xfId="10" applyNumberFormat="1" applyFont="1" applyFill="1" applyBorder="1" applyAlignment="1">
      <alignment horizontal="center" vertical="center" wrapText="1"/>
    </xf>
    <xf numFmtId="0" fontId="2" fillId="2" borderId="6" xfId="0" applyFont="1" applyFill="1" applyBorder="1" applyAlignment="1">
      <alignment vertical="center" wrapText="1"/>
    </xf>
    <xf numFmtId="0" fontId="77" fillId="0" borderId="0" xfId="10" applyFont="1" applyAlignment="1">
      <alignment vertical="center"/>
    </xf>
    <xf numFmtId="1" fontId="5" fillId="0" borderId="0" xfId="10" applyNumberFormat="1" applyFont="1" applyAlignment="1">
      <alignment horizontal="right" vertical="center"/>
    </xf>
    <xf numFmtId="0" fontId="71" fillId="0" borderId="0" xfId="10" applyFont="1"/>
    <xf numFmtId="1" fontId="71" fillId="0" borderId="0" xfId="10" applyNumberFormat="1" applyFont="1"/>
    <xf numFmtId="0" fontId="71" fillId="0" borderId="0" xfId="10" applyFont="1" applyAlignment="1">
      <alignment vertical="center"/>
    </xf>
    <xf numFmtId="1" fontId="71" fillId="0" borderId="0" xfId="10" applyNumberFormat="1" applyFont="1" applyAlignment="1">
      <alignment vertical="center"/>
    </xf>
    <xf numFmtId="0" fontId="71" fillId="0" borderId="0" xfId="10" applyFont="1" applyAlignment="1">
      <alignment horizontal="left"/>
    </xf>
    <xf numFmtId="0" fontId="71" fillId="0" borderId="0" xfId="10" applyFont="1" applyAlignment="1">
      <alignment horizontal="center"/>
    </xf>
    <xf numFmtId="1" fontId="5" fillId="0" borderId="16" xfId="10" applyNumberFormat="1" applyFont="1" applyBorder="1" applyAlignment="1">
      <alignment horizontal="right"/>
    </xf>
    <xf numFmtId="0" fontId="5" fillId="0" borderId="16" xfId="10" applyFont="1" applyBorder="1" applyAlignment="1">
      <alignment horizontal="center"/>
    </xf>
    <xf numFmtId="2" fontId="70" fillId="0" borderId="1" xfId="0" applyNumberFormat="1" applyFont="1" applyBorder="1" applyAlignment="1">
      <alignment horizontal="center" vertical="center"/>
    </xf>
    <xf numFmtId="1" fontId="70" fillId="0" borderId="1" xfId="0" applyNumberFormat="1" applyFont="1" applyBorder="1" applyAlignment="1">
      <alignment horizontal="right" vertical="center"/>
    </xf>
    <xf numFmtId="1" fontId="70" fillId="0" borderId="2" xfId="0" applyNumberFormat="1" applyFont="1" applyBorder="1" applyAlignment="1">
      <alignment horizontal="right" vertical="center"/>
    </xf>
    <xf numFmtId="2" fontId="3" fillId="0" borderId="1" xfId="10" applyNumberFormat="1" applyFont="1" applyBorder="1" applyAlignment="1">
      <alignment horizontal="right" vertical="center"/>
    </xf>
    <xf numFmtId="2" fontId="3" fillId="0" borderId="2" xfId="10" applyNumberFormat="1" applyFont="1" applyBorder="1" applyAlignment="1">
      <alignment horizontal="right" vertical="center"/>
    </xf>
    <xf numFmtId="2" fontId="77" fillId="0" borderId="1" xfId="0" applyNumberFormat="1" applyFont="1" applyBorder="1" applyAlignment="1">
      <alignment horizontal="right" vertical="center"/>
    </xf>
    <xf numFmtId="2" fontId="77" fillId="0" borderId="1" xfId="0" applyNumberFormat="1" applyFont="1" applyBorder="1" applyAlignment="1">
      <alignment vertical="center"/>
    </xf>
    <xf numFmtId="2" fontId="70" fillId="0" borderId="1" xfId="0" applyNumberFormat="1" applyFont="1" applyBorder="1" applyAlignment="1">
      <alignment horizontal="right" vertical="center"/>
    </xf>
    <xf numFmtId="2" fontId="70" fillId="0" borderId="6" xfId="0" applyNumberFormat="1" applyFont="1" applyBorder="1" applyAlignment="1">
      <alignment horizontal="center" vertical="center"/>
    </xf>
    <xf numFmtId="2" fontId="70" fillId="0" borderId="56" xfId="0" applyNumberFormat="1" applyFont="1" applyBorder="1" applyAlignment="1">
      <alignment horizontal="right" vertical="center"/>
    </xf>
    <xf numFmtId="0" fontId="0" fillId="0" borderId="1" xfId="0" applyBorder="1" applyAlignment="1">
      <alignment wrapText="1"/>
    </xf>
    <xf numFmtId="2" fontId="70" fillId="0" borderId="2" xfId="0" applyNumberFormat="1" applyFont="1" applyBorder="1" applyAlignment="1">
      <alignment horizontal="right" vertical="center"/>
    </xf>
    <xf numFmtId="2" fontId="70" fillId="0" borderId="4" xfId="0" applyNumberFormat="1" applyFont="1" applyBorder="1" applyAlignment="1">
      <alignment horizontal="right" vertical="center"/>
    </xf>
    <xf numFmtId="0" fontId="5" fillId="0" borderId="1" xfId="10" applyFont="1" applyBorder="1"/>
    <xf numFmtId="2" fontId="87" fillId="0" borderId="58" xfId="0" applyNumberFormat="1" applyFont="1" applyBorder="1" applyAlignment="1">
      <alignment horizontal="center" vertical="center"/>
    </xf>
    <xf numFmtId="1" fontId="3" fillId="0" borderId="1" xfId="10" applyNumberFormat="1" applyFont="1" applyBorder="1"/>
    <xf numFmtId="2" fontId="77" fillId="0" borderId="6" xfId="0" applyNumberFormat="1" applyFont="1" applyBorder="1" applyAlignment="1">
      <alignment vertical="center"/>
    </xf>
    <xf numFmtId="2" fontId="77" fillId="0" borderId="6" xfId="0" applyNumberFormat="1" applyFont="1" applyBorder="1" applyAlignment="1">
      <alignment horizontal="right" vertical="center"/>
    </xf>
    <xf numFmtId="1" fontId="72" fillId="0" borderId="0" xfId="10" applyNumberFormat="1" applyFont="1"/>
    <xf numFmtId="1" fontId="70" fillId="0" borderId="56" xfId="0" applyNumberFormat="1" applyFont="1" applyBorder="1" applyAlignment="1">
      <alignment horizontal="right" vertical="center"/>
    </xf>
    <xf numFmtId="2" fontId="70" fillId="0" borderId="1" xfId="0" applyNumberFormat="1" applyFont="1" applyBorder="1" applyAlignment="1">
      <alignment vertical="center"/>
    </xf>
    <xf numFmtId="0" fontId="71" fillId="2" borderId="0" xfId="10" applyFont="1" applyFill="1" applyAlignment="1">
      <alignment vertical="center"/>
    </xf>
    <xf numFmtId="0" fontId="5" fillId="2" borderId="0" xfId="10" applyFont="1" applyFill="1" applyAlignment="1">
      <alignment vertical="center" wrapText="1"/>
    </xf>
    <xf numFmtId="1" fontId="5" fillId="2" borderId="1" xfId="10" applyNumberFormat="1" applyFont="1" applyFill="1" applyBorder="1" applyAlignment="1">
      <alignment horizontal="center" vertical="center" wrapText="1"/>
    </xf>
    <xf numFmtId="1" fontId="5" fillId="2" borderId="2" xfId="10" applyNumberFormat="1" applyFont="1" applyFill="1" applyBorder="1" applyAlignment="1">
      <alignment horizontal="center" vertical="center" wrapText="1"/>
    </xf>
    <xf numFmtId="0" fontId="0" fillId="2" borderId="1" xfId="0" applyFill="1" applyBorder="1" applyAlignment="1">
      <alignment horizontal="center" vertical="center" wrapText="1"/>
    </xf>
    <xf numFmtId="0" fontId="40" fillId="0" borderId="0" xfId="0" applyFont="1" applyAlignment="1">
      <alignment vertical="center" wrapText="1"/>
    </xf>
    <xf numFmtId="0" fontId="89" fillId="0" borderId="33" xfId="0" applyFont="1" applyBorder="1"/>
    <xf numFmtId="43" fontId="5" fillId="0" borderId="1" xfId="0" applyNumberFormat="1" applyFont="1" applyBorder="1"/>
    <xf numFmtId="43" fontId="14" fillId="0" borderId="1" xfId="0" applyNumberFormat="1" applyFont="1" applyBorder="1"/>
    <xf numFmtId="2" fontId="3" fillId="0" borderId="0" xfId="0" applyNumberFormat="1" applyFont="1"/>
    <xf numFmtId="2" fontId="3" fillId="0" borderId="1" xfId="0" applyNumberFormat="1" applyFont="1" applyBorder="1"/>
    <xf numFmtId="43" fontId="3" fillId="0" borderId="1" xfId="0" applyNumberFormat="1" applyFont="1" applyBorder="1"/>
    <xf numFmtId="2" fontId="0" fillId="0" borderId="1" xfId="0" applyNumberFormat="1" applyBorder="1"/>
    <xf numFmtId="43" fontId="3" fillId="0" borderId="0" xfId="0" applyNumberFormat="1" applyFont="1"/>
    <xf numFmtId="43" fontId="3" fillId="0" borderId="1" xfId="0" applyNumberFormat="1" applyFont="1" applyBorder="1" applyAlignment="1">
      <alignment horizontal="right"/>
    </xf>
    <xf numFmtId="43" fontId="3" fillId="6" borderId="1" xfId="0" applyNumberFormat="1" applyFont="1" applyFill="1" applyBorder="1"/>
    <xf numFmtId="0" fontId="3" fillId="0" borderId="0" xfId="0" quotePrefix="1" applyFont="1"/>
    <xf numFmtId="0" fontId="3" fillId="2" borderId="0" xfId="0" quotePrefix="1" applyFont="1" applyFill="1" applyAlignment="1">
      <alignment horizontal="center" vertical="center"/>
    </xf>
    <xf numFmtId="0" fontId="3" fillId="0" borderId="22" xfId="0" applyFont="1" applyBorder="1" applyAlignment="1">
      <alignment vertical="top"/>
    </xf>
    <xf numFmtId="43" fontId="5" fillId="0" borderId="1" xfId="0" applyNumberFormat="1" applyFont="1" applyBorder="1" applyAlignment="1">
      <alignment horizontal="right" vertical="center"/>
    </xf>
    <xf numFmtId="2" fontId="14" fillId="0" borderId="1" xfId="0" applyNumberFormat="1" applyFont="1" applyBorder="1" applyAlignment="1">
      <alignment horizontal="right" vertical="center"/>
    </xf>
    <xf numFmtId="2" fontId="14" fillId="0" borderId="1" xfId="0" applyNumberFormat="1" applyFont="1" applyBorder="1"/>
    <xf numFmtId="43" fontId="3" fillId="0" borderId="1" xfId="0" applyNumberFormat="1" applyFont="1" applyBorder="1" applyAlignment="1">
      <alignment horizontal="right" vertical="center"/>
    </xf>
    <xf numFmtId="43" fontId="3" fillId="0" borderId="1" xfId="0" applyNumberFormat="1" applyFont="1" applyBorder="1" applyAlignment="1">
      <alignment horizontal="center" vertical="center"/>
    </xf>
    <xf numFmtId="2" fontId="0" fillId="6" borderId="1" xfId="0" applyNumberFormat="1" applyFill="1" applyBorder="1"/>
    <xf numFmtId="0" fontId="3" fillId="0" borderId="0" xfId="56" applyFont="1" applyAlignment="1">
      <alignment horizontal="left" wrapText="1"/>
    </xf>
    <xf numFmtId="0" fontId="3" fillId="0" borderId="1" xfId="0" quotePrefix="1" applyFont="1" applyBorder="1"/>
    <xf numFmtId="0" fontId="90" fillId="0" borderId="17" xfId="0" applyFont="1" applyBorder="1" applyAlignment="1">
      <alignment horizontal="right" vertical="top" wrapText="1"/>
    </xf>
    <xf numFmtId="1" fontId="92" fillId="0" borderId="17" xfId="0" applyNumberFormat="1" applyFont="1" applyBorder="1" applyAlignment="1">
      <alignment horizontal="right" vertical="top" shrinkToFit="1"/>
    </xf>
    <xf numFmtId="3" fontId="92" fillId="0" borderId="17" xfId="0" applyNumberFormat="1" applyFont="1" applyBorder="1" applyAlignment="1">
      <alignment horizontal="right" vertical="top" shrinkToFit="1"/>
    </xf>
    <xf numFmtId="0" fontId="93" fillId="0" borderId="17" xfId="0" applyFont="1" applyBorder="1" applyAlignment="1">
      <alignment horizontal="right" vertical="center" wrapText="1"/>
    </xf>
    <xf numFmtId="0" fontId="93" fillId="0" borderId="17" xfId="0" applyFont="1" applyBorder="1" applyAlignment="1">
      <alignment horizontal="left" vertical="center" wrapText="1" indent="6"/>
    </xf>
    <xf numFmtId="0" fontId="93" fillId="0" borderId="17" xfId="0" applyFont="1" applyBorder="1" applyAlignment="1">
      <alignment horizontal="left" vertical="center" wrapText="1" indent="4"/>
    </xf>
    <xf numFmtId="0" fontId="0" fillId="0" borderId="17" xfId="0" applyBorder="1" applyAlignment="1">
      <alignment horizontal="left" wrapText="1"/>
    </xf>
    <xf numFmtId="4" fontId="92" fillId="0" borderId="17" xfId="0" applyNumberFormat="1" applyFont="1" applyBorder="1" applyAlignment="1">
      <alignment horizontal="right" vertical="top" shrinkToFit="1"/>
    </xf>
    <xf numFmtId="2" fontId="92" fillId="0" borderId="17" xfId="0" applyNumberFormat="1" applyFont="1" applyBorder="1" applyAlignment="1">
      <alignment horizontal="right" vertical="top" shrinkToFit="1"/>
    </xf>
    <xf numFmtId="0" fontId="3" fillId="0" borderId="1" xfId="0" quotePrefix="1" applyFont="1" applyBorder="1" applyAlignment="1">
      <alignment vertical="top"/>
    </xf>
    <xf numFmtId="169" fontId="92" fillId="0" borderId="17" xfId="0" applyNumberFormat="1" applyFont="1" applyBorder="1" applyAlignment="1">
      <alignment horizontal="right" vertical="top" shrinkToFit="1"/>
    </xf>
    <xf numFmtId="0" fontId="3" fillId="0" borderId="1" xfId="0" applyFont="1" applyBorder="1" applyAlignment="1">
      <alignment wrapText="1"/>
    </xf>
    <xf numFmtId="3" fontId="92" fillId="0" borderId="17" xfId="0" applyNumberFormat="1" applyFont="1" applyBorder="1" applyAlignment="1">
      <alignment horizontal="left" vertical="top" shrinkToFit="1"/>
    </xf>
    <xf numFmtId="0" fontId="26" fillId="0" borderId="22" xfId="50" applyFont="1" applyBorder="1" applyAlignment="1">
      <alignment horizontal="left" vertical="center"/>
    </xf>
    <xf numFmtId="0" fontId="26" fillId="0" borderId="33" xfId="50" applyFont="1" applyBorder="1" applyAlignment="1">
      <alignment horizontal="left" vertical="center"/>
    </xf>
    <xf numFmtId="0" fontId="3" fillId="0" borderId="34" xfId="0" applyFont="1" applyBorder="1" applyAlignment="1">
      <alignment vertical="center" wrapText="1"/>
    </xf>
    <xf numFmtId="0" fontId="3" fillId="0" borderId="0" xfId="0" applyFont="1" applyAlignment="1">
      <alignment horizontal="center" vertical="top"/>
    </xf>
    <xf numFmtId="0" fontId="1" fillId="0" borderId="0" xfId="90" applyAlignment="1">
      <alignment wrapText="1"/>
    </xf>
    <xf numFmtId="0" fontId="1" fillId="0" borderId="0" xfId="90" applyAlignment="1">
      <alignment horizontal="right" wrapText="1"/>
    </xf>
    <xf numFmtId="0" fontId="1" fillId="0" borderId="0" xfId="90" applyAlignment="1">
      <alignment horizontal="center" wrapText="1"/>
    </xf>
    <xf numFmtId="0" fontId="0" fillId="0" borderId="0" xfId="90" applyFont="1" applyAlignment="1">
      <alignment wrapText="1"/>
    </xf>
    <xf numFmtId="0" fontId="3" fillId="0" borderId="22" xfId="90" applyFont="1" applyBorder="1" applyAlignment="1">
      <alignment horizontal="left" vertical="top"/>
    </xf>
    <xf numFmtId="0" fontId="1" fillId="0" borderId="0" xfId="90" applyAlignment="1">
      <alignment vertical="center" wrapText="1"/>
    </xf>
    <xf numFmtId="0" fontId="7" fillId="0" borderId="1" xfId="90" applyFont="1" applyBorder="1" applyAlignment="1">
      <alignment vertical="top" wrapText="1"/>
    </xf>
    <xf numFmtId="41" fontId="7" fillId="0" borderId="1" xfId="0" applyNumberFormat="1" applyFont="1" applyBorder="1" applyAlignment="1">
      <alignment horizontal="right" vertical="center"/>
    </xf>
    <xf numFmtId="0" fontId="7" fillId="0" borderId="1" xfId="90" applyFont="1" applyBorder="1" applyAlignment="1">
      <alignment vertical="center" wrapText="1"/>
    </xf>
    <xf numFmtId="0" fontId="7" fillId="0" borderId="1" xfId="90" quotePrefix="1" applyFont="1" applyBorder="1" applyAlignment="1">
      <alignment vertical="center" wrapText="1"/>
    </xf>
    <xf numFmtId="0" fontId="27" fillId="0" borderId="0" xfId="90" applyFont="1" applyAlignment="1">
      <alignment vertical="top" wrapText="1"/>
    </xf>
    <xf numFmtId="0" fontId="27" fillId="0" borderId="1" xfId="90" applyFont="1" applyBorder="1" applyAlignment="1">
      <alignment vertical="top" wrapText="1"/>
    </xf>
    <xf numFmtId="41" fontId="7" fillId="0" borderId="1" xfId="0" applyNumberFormat="1" applyFont="1" applyBorder="1" applyAlignment="1">
      <alignment vertical="center"/>
    </xf>
    <xf numFmtId="41" fontId="7" fillId="0" borderId="1" xfId="90" applyNumberFormat="1" applyFont="1" applyBorder="1" applyAlignment="1">
      <alignment horizontal="right" vertical="center" wrapText="1"/>
    </xf>
    <xf numFmtId="41" fontId="7" fillId="6" borderId="1" xfId="0" applyNumberFormat="1" applyFont="1" applyFill="1" applyBorder="1" applyAlignment="1">
      <alignment vertical="center"/>
    </xf>
    <xf numFmtId="41" fontId="7" fillId="6" borderId="1" xfId="0" applyNumberFormat="1" applyFont="1" applyFill="1" applyBorder="1" applyAlignment="1">
      <alignment horizontal="right" vertical="center"/>
    </xf>
    <xf numFmtId="0" fontId="7" fillId="0" borderId="1" xfId="90" applyFont="1" applyBorder="1" applyAlignment="1">
      <alignment horizontal="right" vertical="center" wrapText="1"/>
    </xf>
    <xf numFmtId="0" fontId="27" fillId="2" borderId="1" xfId="90" applyFont="1" applyFill="1" applyBorder="1" applyAlignment="1">
      <alignment horizontal="center" vertical="center" wrapText="1"/>
    </xf>
    <xf numFmtId="0" fontId="27" fillId="2" borderId="1" xfId="90" applyFont="1" applyFill="1" applyBorder="1" applyAlignment="1">
      <alignment vertical="center" wrapText="1"/>
    </xf>
    <xf numFmtId="0" fontId="2" fillId="0" borderId="1" xfId="0" applyFont="1" applyBorder="1" applyAlignment="1">
      <alignment horizontal="right"/>
    </xf>
    <xf numFmtId="0" fontId="3" fillId="0" borderId="0" xfId="56" quotePrefix="1" applyFont="1" applyAlignment="1">
      <alignment vertical="center"/>
    </xf>
    <xf numFmtId="0" fontId="3" fillId="0" borderId="1" xfId="9" applyFont="1" applyBorder="1" applyAlignment="1">
      <alignment horizontal="right"/>
    </xf>
    <xf numFmtId="0" fontId="5" fillId="2" borderId="1" xfId="47" applyFont="1" applyFill="1" applyBorder="1" applyAlignment="1">
      <alignment horizontal="center" vertical="center" wrapText="1"/>
    </xf>
    <xf numFmtId="0" fontId="5" fillId="0" borderId="5" xfId="82" applyFont="1" applyBorder="1" applyAlignment="1">
      <alignment horizontal="right" vertical="center"/>
    </xf>
    <xf numFmtId="0" fontId="5" fillId="0" borderId="5" xfId="47" applyFont="1" applyBorder="1" applyAlignment="1">
      <alignment horizontal="right" vertical="center"/>
    </xf>
    <xf numFmtId="0" fontId="1" fillId="0" borderId="0" xfId="47"/>
    <xf numFmtId="0" fontId="1" fillId="0" borderId="0" xfId="47" applyAlignment="1">
      <alignment horizontal="center"/>
    </xf>
    <xf numFmtId="0" fontId="1" fillId="0" borderId="0" xfId="47" applyAlignment="1">
      <alignment horizontal="right" vertical="center"/>
    </xf>
    <xf numFmtId="0" fontId="1" fillId="0" borderId="0" xfId="47" applyAlignment="1">
      <alignment vertical="center"/>
    </xf>
    <xf numFmtId="0" fontId="3" fillId="0" borderId="16" xfId="47" applyFont="1" applyBorder="1" applyAlignment="1">
      <alignment vertical="center"/>
    </xf>
    <xf numFmtId="0" fontId="3" fillId="0" borderId="16" xfId="47" quotePrefix="1" applyFont="1" applyBorder="1" applyAlignment="1">
      <alignment vertical="center"/>
    </xf>
    <xf numFmtId="0" fontId="26" fillId="0" borderId="16" xfId="47" applyFont="1" applyBorder="1" applyAlignment="1">
      <alignment vertical="center"/>
    </xf>
    <xf numFmtId="41" fontId="3" fillId="0" borderId="42" xfId="82" applyNumberFormat="1" applyFont="1" applyBorder="1" applyAlignment="1">
      <alignment horizontal="right" vertical="center" wrapText="1"/>
    </xf>
    <xf numFmtId="41" fontId="3" fillId="0" borderId="3" xfId="82" applyNumberFormat="1" applyFont="1" applyBorder="1" applyAlignment="1">
      <alignment vertical="center" wrapText="1"/>
    </xf>
    <xf numFmtId="41" fontId="3" fillId="0" borderId="3" xfId="82" applyNumberFormat="1" applyFont="1" applyBorder="1" applyAlignment="1">
      <alignment vertical="center"/>
    </xf>
    <xf numFmtId="41" fontId="3" fillId="0" borderId="3" xfId="47" applyNumberFormat="1" applyFont="1" applyBorder="1" applyAlignment="1">
      <alignment horizontal="right" vertical="center" wrapText="1"/>
    </xf>
    <xf numFmtId="0" fontId="3" fillId="0" borderId="3" xfId="82" applyFont="1" applyBorder="1" applyAlignment="1">
      <alignment horizontal="left" vertical="center" wrapText="1"/>
    </xf>
    <xf numFmtId="0" fontId="3" fillId="0" borderId="41" xfId="82" applyFont="1" applyBorder="1" applyAlignment="1">
      <alignment horizontal="center" vertical="center" wrapText="1"/>
    </xf>
    <xf numFmtId="0" fontId="1" fillId="2" borderId="0" xfId="47" applyFill="1" applyAlignment="1">
      <alignment horizontal="center" vertical="center"/>
    </xf>
    <xf numFmtId="0" fontId="0" fillId="0" borderId="1" xfId="0" applyBorder="1" applyAlignment="1">
      <alignment horizontal="right"/>
    </xf>
    <xf numFmtId="0" fontId="5" fillId="2" borderId="36" xfId="0" applyFont="1" applyFill="1" applyBorder="1" applyAlignment="1">
      <alignment horizontal="center" vertical="center" wrapText="1"/>
    </xf>
    <xf numFmtId="0" fontId="3" fillId="0" borderId="23" xfId="5" applyFont="1" applyBorder="1" applyAlignment="1">
      <alignment horizontal="center" vertical="center"/>
    </xf>
    <xf numFmtId="0" fontId="3" fillId="0" borderId="1" xfId="4" quotePrefix="1" applyFont="1" applyBorder="1" applyAlignment="1">
      <alignment horizontal="center" vertical="center"/>
    </xf>
    <xf numFmtId="0" fontId="5" fillId="2" borderId="7"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24" xfId="0" applyFont="1" applyFill="1" applyBorder="1" applyAlignment="1">
      <alignment horizontal="center" vertical="center" wrapText="1"/>
    </xf>
    <xf numFmtId="0" fontId="3" fillId="0" borderId="2" xfId="0" applyFont="1" applyBorder="1" applyAlignment="1">
      <alignment horizontal="center" vertical="center"/>
    </xf>
    <xf numFmtId="0" fontId="5" fillId="0" borderId="1" xfId="0" applyFont="1" applyBorder="1" applyAlignment="1">
      <alignment horizontal="center" vertical="center" wrapText="1"/>
    </xf>
    <xf numFmtId="0" fontId="5" fillId="0" borderId="1" xfId="0" applyFont="1" applyBorder="1" applyAlignment="1">
      <alignment horizontal="center" vertical="center"/>
    </xf>
    <xf numFmtId="0" fontId="26" fillId="0" borderId="22" xfId="5" applyFont="1" applyBorder="1" applyAlignment="1">
      <alignment horizontal="left" vertical="center"/>
    </xf>
    <xf numFmtId="0" fontId="3" fillId="0" borderId="22" xfId="5" applyFont="1" applyBorder="1" applyAlignment="1">
      <alignment horizontal="left" vertical="center" wrapText="1"/>
    </xf>
    <xf numFmtId="0" fontId="5" fillId="2" borderId="1" xfId="82" applyFont="1" applyFill="1" applyBorder="1" applyAlignment="1">
      <alignment horizontal="center" vertical="top" wrapText="1"/>
    </xf>
    <xf numFmtId="0" fontId="5" fillId="2" borderId="1" xfId="47" applyFont="1" applyFill="1" applyBorder="1" applyAlignment="1">
      <alignment horizontal="center" vertical="top" wrapText="1"/>
    </xf>
    <xf numFmtId="0" fontId="3" fillId="0" borderId="23" xfId="0" applyFont="1" applyBorder="1" applyAlignment="1">
      <alignment vertical="center" wrapText="1"/>
    </xf>
    <xf numFmtId="0" fontId="3" fillId="0" borderId="22" xfId="0" applyFont="1" applyBorder="1" applyAlignment="1">
      <alignment vertical="center"/>
    </xf>
    <xf numFmtId="0" fontId="3" fillId="0" borderId="23" xfId="0" applyFont="1" applyBorder="1" applyAlignment="1">
      <alignment vertical="center"/>
    </xf>
    <xf numFmtId="0" fontId="5" fillId="2" borderId="6" xfId="47" applyFont="1" applyFill="1" applyBorder="1" applyAlignment="1">
      <alignment horizontal="center" vertical="center" wrapText="1"/>
    </xf>
    <xf numFmtId="0" fontId="5" fillId="2" borderId="6" xfId="0" applyFont="1" applyFill="1" applyBorder="1" applyAlignment="1">
      <alignment horizontal="center" vertical="center" wrapText="1"/>
    </xf>
    <xf numFmtId="0" fontId="8" fillId="0" borderId="22" xfId="0" applyFont="1" applyBorder="1" applyAlignment="1">
      <alignment horizontal="center" vertical="center"/>
    </xf>
    <xf numFmtId="0" fontId="8" fillId="0" borderId="23" xfId="0" applyFont="1" applyBorder="1" applyAlignment="1">
      <alignment horizontal="center" vertical="center"/>
    </xf>
    <xf numFmtId="0" fontId="3" fillId="0" borderId="23" xfId="0" applyFont="1" applyBorder="1" applyAlignment="1">
      <alignment horizontal="left" vertical="center" wrapText="1"/>
    </xf>
    <xf numFmtId="0" fontId="5" fillId="3" borderId="1" xfId="0" applyFont="1" applyFill="1" applyBorder="1" applyAlignment="1">
      <alignment horizontal="center" vertical="center" wrapText="1"/>
    </xf>
    <xf numFmtId="0" fontId="3" fillId="0" borderId="33" xfId="0" applyFont="1" applyBorder="1" applyAlignment="1">
      <alignment horizontal="left"/>
    </xf>
    <xf numFmtId="0" fontId="3" fillId="0" borderId="34" xfId="0" applyFont="1" applyBorder="1" applyAlignment="1">
      <alignment horizontal="left" vertical="center"/>
    </xf>
    <xf numFmtId="0" fontId="5" fillId="2" borderId="56" xfId="0" applyFont="1" applyFill="1" applyBorder="1" applyAlignment="1">
      <alignment horizontal="center" vertical="center" wrapText="1"/>
    </xf>
    <xf numFmtId="0" fontId="5" fillId="0" borderId="23" xfId="0" applyFont="1" applyBorder="1" applyAlignment="1">
      <alignment horizontal="left" vertical="top"/>
    </xf>
    <xf numFmtId="0" fontId="5" fillId="0" borderId="22" xfId="0" applyFont="1" applyBorder="1" applyAlignment="1">
      <alignment horizontal="left" vertical="center"/>
    </xf>
    <xf numFmtId="0" fontId="5" fillId="2" borderId="46" xfId="0" applyFont="1" applyFill="1" applyBorder="1" applyAlignment="1">
      <alignment horizontal="center" vertical="center" wrapText="1"/>
    </xf>
    <xf numFmtId="0" fontId="3" fillId="0" borderId="23" xfId="0" applyFont="1" applyBorder="1" applyAlignment="1">
      <alignment horizontal="right" vertical="center"/>
    </xf>
    <xf numFmtId="0" fontId="8" fillId="0" borderId="22" xfId="0" applyFont="1" applyBorder="1" applyAlignment="1">
      <alignment horizontal="center" vertical="center" wrapText="1"/>
    </xf>
    <xf numFmtId="0" fontId="8" fillId="0" borderId="23" xfId="0" applyFont="1" applyBorder="1" applyAlignment="1">
      <alignment horizontal="center" vertical="center" wrapText="1"/>
    </xf>
    <xf numFmtId="1" fontId="70" fillId="0" borderId="6" xfId="94" applyNumberFormat="1" applyFont="1" applyBorder="1" applyAlignment="1">
      <alignment horizontal="center" vertical="center"/>
    </xf>
    <xf numFmtId="2" fontId="5" fillId="0" borderId="2" xfId="0" applyNumberFormat="1" applyFont="1" applyBorder="1" applyAlignment="1">
      <alignment horizontal="right" vertical="center"/>
    </xf>
    <xf numFmtId="0" fontId="5" fillId="2" borderId="2" xfId="0" applyFont="1" applyFill="1" applyBorder="1" applyAlignment="1">
      <alignment horizontal="center" vertical="center" wrapText="1"/>
    </xf>
    <xf numFmtId="0" fontId="5" fillId="2" borderId="24" xfId="0" applyFont="1" applyFill="1" applyBorder="1" applyAlignment="1">
      <alignment horizontal="center" vertical="center"/>
    </xf>
    <xf numFmtId="0" fontId="3" fillId="0" borderId="36" xfId="0" applyFont="1" applyBorder="1" applyAlignment="1">
      <alignment horizontal="center" vertical="center"/>
    </xf>
    <xf numFmtId="0" fontId="3" fillId="0" borderId="45" xfId="0" applyFont="1" applyBorder="1" applyAlignment="1">
      <alignment horizontal="center" vertical="center"/>
    </xf>
    <xf numFmtId="0" fontId="5" fillId="0" borderId="0" xfId="9" applyFont="1" applyAlignment="1">
      <alignment horizontal="center" vertical="center"/>
    </xf>
    <xf numFmtId="0" fontId="5" fillId="0" borderId="1" xfId="0" applyFont="1" applyBorder="1" applyAlignment="1">
      <alignment horizontal="left" vertical="top"/>
    </xf>
    <xf numFmtId="0" fontId="5" fillId="0" borderId="43" xfId="0" applyFont="1" applyBorder="1" applyAlignment="1">
      <alignment horizontal="left" vertical="center"/>
    </xf>
    <xf numFmtId="0" fontId="2" fillId="2" borderId="1" xfId="0" applyFont="1" applyFill="1" applyBorder="1" applyAlignment="1">
      <alignment horizontal="center" vertical="center" wrapText="1"/>
    </xf>
    <xf numFmtId="0" fontId="5" fillId="2" borderId="1" xfId="9" applyFont="1" applyFill="1" applyBorder="1" applyAlignment="1">
      <alignment horizontal="center" vertical="top" wrapText="1"/>
    </xf>
    <xf numFmtId="0" fontId="5" fillId="0" borderId="2" xfId="0" applyFont="1" applyBorder="1" applyAlignment="1">
      <alignment horizontal="center" vertical="center" wrapText="1"/>
    </xf>
    <xf numFmtId="0" fontId="2" fillId="2" borderId="36" xfId="0" applyFont="1" applyFill="1" applyBorder="1" applyAlignment="1">
      <alignment horizontal="center" vertical="center" wrapText="1"/>
    </xf>
    <xf numFmtId="0" fontId="3" fillId="0" borderId="22" xfId="0" applyFont="1" applyBorder="1" applyAlignment="1">
      <alignment horizontal="left" vertical="center"/>
    </xf>
    <xf numFmtId="0" fontId="20" fillId="0" borderId="22" xfId="0" applyFont="1" applyBorder="1" applyAlignment="1">
      <alignment horizontal="justify" vertical="top" wrapText="1"/>
    </xf>
    <xf numFmtId="0" fontId="20" fillId="0" borderId="23" xfId="0" applyFont="1" applyBorder="1" applyAlignment="1">
      <alignment horizontal="justify" vertical="top" wrapText="1"/>
    </xf>
    <xf numFmtId="0" fontId="20" fillId="0" borderId="22" xfId="0" applyFont="1" applyBorder="1" applyAlignment="1">
      <alignment horizontal="justify" vertical="center" wrapText="1"/>
    </xf>
    <xf numFmtId="0" fontId="20" fillId="0" borderId="23" xfId="0" applyFont="1" applyBorder="1" applyAlignment="1">
      <alignment horizontal="justify" vertical="center" wrapText="1"/>
    </xf>
    <xf numFmtId="0" fontId="20" fillId="0" borderId="22" xfId="0" applyFont="1" applyBorder="1" applyAlignment="1">
      <alignment horizontal="left" vertical="center" wrapText="1"/>
    </xf>
    <xf numFmtId="0" fontId="20" fillId="0" borderId="23" xfId="0" applyFont="1" applyBorder="1" applyAlignment="1">
      <alignment horizontal="left" vertical="center" wrapText="1"/>
    </xf>
    <xf numFmtId="0" fontId="8" fillId="0" borderId="0" xfId="50" applyFont="1" applyAlignment="1">
      <alignment vertical="center" wrapText="1"/>
    </xf>
    <xf numFmtId="0" fontId="3" fillId="0" borderId="24" xfId="0" applyFont="1" applyBorder="1" applyAlignment="1">
      <alignment vertical="top" wrapText="1"/>
    </xf>
    <xf numFmtId="0" fontId="3" fillId="0" borderId="24" xfId="0" applyFont="1" applyBorder="1" applyAlignment="1">
      <alignment horizontal="left" vertical="top" wrapText="1" indent="1"/>
    </xf>
    <xf numFmtId="0" fontId="3" fillId="0" borderId="24" xfId="0" applyFont="1" applyBorder="1" applyAlignment="1">
      <alignment horizontal="left" vertical="top" indent="1"/>
    </xf>
    <xf numFmtId="0" fontId="3" fillId="0" borderId="0" xfId="0" applyFont="1" applyAlignment="1">
      <alignment horizontal="right" vertical="center"/>
    </xf>
    <xf numFmtId="3" fontId="3" fillId="0" borderId="0" xfId="0" applyNumberFormat="1" applyFont="1" applyAlignment="1">
      <alignment horizontal="right" vertical="center"/>
    </xf>
    <xf numFmtId="0" fontId="1" fillId="0" borderId="23" xfId="90" applyBorder="1" applyAlignment="1">
      <alignment wrapText="1"/>
    </xf>
    <xf numFmtId="0" fontId="27" fillId="2" borderId="36" xfId="90" applyFont="1" applyFill="1" applyBorder="1" applyAlignment="1">
      <alignment horizontal="center" vertical="center" wrapText="1"/>
    </xf>
    <xf numFmtId="0" fontId="27" fillId="2" borderId="24" xfId="90" applyFont="1" applyFill="1" applyBorder="1" applyAlignment="1">
      <alignment horizontal="center" vertical="center" wrapText="1"/>
    </xf>
    <xf numFmtId="0" fontId="27" fillId="0" borderId="36" xfId="90" applyFont="1" applyBorder="1" applyAlignment="1">
      <alignment vertical="top" wrapText="1"/>
    </xf>
    <xf numFmtId="0" fontId="27" fillId="0" borderId="24" xfId="90" applyFont="1" applyBorder="1" applyAlignment="1">
      <alignment vertical="top" wrapText="1"/>
    </xf>
    <xf numFmtId="0" fontId="7" fillId="0" borderId="36" xfId="90" applyFont="1" applyBorder="1" applyAlignment="1">
      <alignment vertical="top" wrapText="1"/>
    </xf>
    <xf numFmtId="0" fontId="7" fillId="0" borderId="24" xfId="90" applyFont="1" applyBorder="1" applyAlignment="1">
      <alignment vertical="top" wrapText="1"/>
    </xf>
    <xf numFmtId="0" fontId="1" fillId="0" borderId="24" xfId="90" applyBorder="1" applyAlignment="1">
      <alignment vertical="center" wrapText="1"/>
    </xf>
    <xf numFmtId="0" fontId="1" fillId="0" borderId="23" xfId="90" applyBorder="1" applyAlignment="1">
      <alignment vertical="center" wrapText="1"/>
    </xf>
    <xf numFmtId="0" fontId="3" fillId="0" borderId="0" xfId="90" applyFont="1" applyAlignment="1">
      <alignment vertical="top"/>
    </xf>
    <xf numFmtId="0" fontId="3" fillId="0" borderId="0" xfId="90" applyFont="1" applyAlignment="1">
      <alignment horizontal="left" vertical="top"/>
    </xf>
    <xf numFmtId="0" fontId="3" fillId="0" borderId="0" xfId="90" applyFont="1" applyAlignment="1">
      <alignment vertical="top" wrapText="1"/>
    </xf>
    <xf numFmtId="0" fontId="3" fillId="0" borderId="0" xfId="90" applyFont="1" applyAlignment="1">
      <alignment wrapText="1"/>
    </xf>
    <xf numFmtId="49" fontId="7" fillId="0" borderId="23" xfId="90" applyNumberFormat="1" applyFont="1" applyBorder="1" applyAlignment="1">
      <alignment vertical="top" wrapText="1"/>
    </xf>
    <xf numFmtId="0" fontId="3" fillId="0" borderId="23" xfId="90" applyFont="1" applyBorder="1" applyAlignment="1">
      <alignment wrapText="1"/>
    </xf>
    <xf numFmtId="0" fontId="3" fillId="0" borderId="23" xfId="90" applyFont="1" applyBorder="1" applyAlignment="1">
      <alignment horizontal="center" vertical="top" wrapText="1"/>
    </xf>
    <xf numFmtId="0" fontId="1" fillId="0" borderId="35" xfId="90" applyBorder="1" applyAlignment="1">
      <alignment wrapText="1"/>
    </xf>
    <xf numFmtId="0" fontId="5" fillId="0" borderId="24" xfId="0" applyFont="1" applyBorder="1" applyAlignment="1">
      <alignment vertical="top"/>
    </xf>
    <xf numFmtId="1" fontId="5" fillId="0" borderId="0" xfId="0" applyNumberFormat="1" applyFont="1" applyAlignment="1">
      <alignment horizontal="right" vertical="center"/>
    </xf>
    <xf numFmtId="0" fontId="5" fillId="0" borderId="0" xfId="0" applyFont="1" applyAlignment="1">
      <alignment horizontal="left" vertical="center" wrapText="1"/>
    </xf>
    <xf numFmtId="1" fontId="3" fillId="0" borderId="0" xfId="5" applyNumberFormat="1" applyFont="1" applyAlignment="1">
      <alignment horizontal="center" vertical="center"/>
    </xf>
    <xf numFmtId="0" fontId="3" fillId="0" borderId="24" xfId="4" applyFont="1" applyBorder="1" applyAlignment="1">
      <alignment horizontal="left" vertical="center"/>
    </xf>
    <xf numFmtId="0" fontId="5" fillId="0" borderId="24" xfId="4" applyFont="1" applyBorder="1" applyAlignment="1">
      <alignment horizontal="left" vertical="center"/>
    </xf>
    <xf numFmtId="0" fontId="5" fillId="0" borderId="49" xfId="4" applyFont="1" applyBorder="1" applyAlignment="1">
      <alignment horizontal="left" vertical="center"/>
    </xf>
    <xf numFmtId="0" fontId="3" fillId="0" borderId="46" xfId="4" applyFont="1" applyBorder="1" applyAlignment="1">
      <alignment horizontal="left" vertical="center"/>
    </xf>
    <xf numFmtId="0" fontId="5" fillId="0" borderId="36" xfId="4" applyFont="1" applyBorder="1" applyAlignment="1">
      <alignment vertical="center"/>
    </xf>
    <xf numFmtId="0" fontId="5" fillId="0" borderId="0" xfId="5" applyFont="1" applyAlignment="1">
      <alignment horizontal="center" vertical="center"/>
    </xf>
    <xf numFmtId="0" fontId="5" fillId="0" borderId="0" xfId="4" applyFont="1" applyAlignment="1">
      <alignment horizontal="left" vertical="center"/>
    </xf>
    <xf numFmtId="1" fontId="5" fillId="0" borderId="0" xfId="4" applyNumberFormat="1" applyFont="1" applyAlignment="1">
      <alignment horizontal="right" vertical="center"/>
    </xf>
    <xf numFmtId="0" fontId="5" fillId="0" borderId="0" xfId="4" applyFont="1" applyAlignment="1">
      <alignment horizontal="center" vertical="center" wrapText="1"/>
    </xf>
    <xf numFmtId="0" fontId="26" fillId="0" borderId="0" xfId="4" applyFont="1" applyAlignment="1">
      <alignment vertical="center"/>
    </xf>
    <xf numFmtId="1" fontId="3" fillId="0" borderId="0" xfId="5" applyNumberFormat="1" applyFont="1" applyAlignment="1">
      <alignment horizontal="right" vertical="center"/>
    </xf>
    <xf numFmtId="0" fontId="3" fillId="0" borderId="34" xfId="5" applyFont="1" applyBorder="1" applyAlignment="1">
      <alignment vertical="center"/>
    </xf>
    <xf numFmtId="0" fontId="5" fillId="0" borderId="24" xfId="0" applyFont="1" applyBorder="1" applyAlignment="1">
      <alignment vertical="center"/>
    </xf>
    <xf numFmtId="0" fontId="3" fillId="0" borderId="24" xfId="5" applyFont="1" applyBorder="1" applyAlignment="1">
      <alignment horizontal="left" vertical="center"/>
    </xf>
    <xf numFmtId="0" fontId="5" fillId="0" borderId="24" xfId="5" applyFont="1" applyBorder="1" applyAlignment="1">
      <alignment horizontal="left" vertical="center"/>
    </xf>
    <xf numFmtId="0" fontId="5" fillId="0" borderId="1" xfId="0" applyFont="1" applyBorder="1" applyAlignment="1">
      <alignment horizontal="left" vertical="center"/>
    </xf>
    <xf numFmtId="0" fontId="5" fillId="2" borderId="37" xfId="0" applyFont="1" applyFill="1" applyBorder="1" applyAlignment="1">
      <alignment horizontal="center" vertical="center" wrapText="1"/>
    </xf>
    <xf numFmtId="0" fontId="5" fillId="0" borderId="37" xfId="0" applyFont="1" applyBorder="1" applyAlignment="1">
      <alignment horizontal="center" vertical="center"/>
    </xf>
    <xf numFmtId="0" fontId="3" fillId="0" borderId="37" xfId="0" applyFont="1" applyBorder="1" applyAlignment="1">
      <alignment horizontal="center" vertical="center"/>
    </xf>
    <xf numFmtId="0" fontId="5" fillId="0" borderId="50" xfId="79" applyFont="1" applyBorder="1" applyAlignment="1">
      <alignment horizontal="left" vertical="center"/>
    </xf>
    <xf numFmtId="0" fontId="3" fillId="0" borderId="37" xfId="0" applyFont="1" applyBorder="1" applyAlignment="1">
      <alignment horizontal="left" vertical="center"/>
    </xf>
    <xf numFmtId="165" fontId="3" fillId="0" borderId="50" xfId="79" applyNumberFormat="1" applyFont="1" applyBorder="1" applyAlignment="1">
      <alignment vertical="center"/>
    </xf>
    <xf numFmtId="0" fontId="3" fillId="0" borderId="37" xfId="0" applyFont="1" applyBorder="1" applyAlignment="1">
      <alignment horizontal="left" vertical="center" wrapText="1"/>
    </xf>
    <xf numFmtId="0" fontId="3" fillId="0" borderId="37" xfId="0" applyFont="1" applyBorder="1" applyAlignment="1">
      <alignment horizontal="left" vertical="top" wrapText="1"/>
    </xf>
    <xf numFmtId="165" fontId="3" fillId="0" borderId="50" xfId="79" applyNumberFormat="1" applyFont="1" applyBorder="1" applyAlignment="1">
      <alignment horizontal="left" vertical="top" wrapText="1"/>
    </xf>
    <xf numFmtId="165" fontId="3" fillId="0" borderId="50" xfId="79" applyNumberFormat="1" applyFont="1" applyBorder="1" applyAlignment="1">
      <alignment vertical="center" wrapText="1"/>
    </xf>
    <xf numFmtId="0" fontId="5" fillId="0" borderId="50" xfId="79" applyFont="1" applyBorder="1" applyAlignment="1">
      <alignment horizontal="left" vertical="center" wrapText="1"/>
    </xf>
    <xf numFmtId="0" fontId="3" fillId="0" borderId="50" xfId="79" applyFont="1" applyBorder="1" applyAlignment="1">
      <alignment horizontal="left" vertical="center"/>
    </xf>
    <xf numFmtId="0" fontId="5" fillId="0" borderId="53" xfId="0" applyFont="1" applyBorder="1" applyAlignment="1">
      <alignment horizontal="left" vertical="center" wrapText="1"/>
    </xf>
    <xf numFmtId="0" fontId="3" fillId="0" borderId="50" xfId="79" applyFont="1" applyBorder="1" applyAlignment="1">
      <alignment vertical="center"/>
    </xf>
    <xf numFmtId="0" fontId="3" fillId="0" borderId="37" xfId="5" applyFont="1" applyBorder="1" applyAlignment="1">
      <alignment vertical="center"/>
    </xf>
    <xf numFmtId="0" fontId="3" fillId="0" borderId="50" xfId="0" applyFont="1" applyBorder="1" applyAlignment="1">
      <alignment vertical="center"/>
    </xf>
    <xf numFmtId="0" fontId="3" fillId="0" borderId="37" xfId="5" applyFont="1" applyBorder="1" applyAlignment="1">
      <alignment vertical="center" wrapText="1"/>
    </xf>
    <xf numFmtId="0" fontId="3" fillId="0" borderId="50" xfId="0" applyFont="1" applyBorder="1" applyAlignment="1">
      <alignment vertical="center" wrapText="1"/>
    </xf>
    <xf numFmtId="0" fontId="5" fillId="0" borderId="37" xfId="5" applyFont="1" applyBorder="1" applyAlignment="1">
      <alignment vertical="center"/>
    </xf>
    <xf numFmtId="0" fontId="3" fillId="0" borderId="66" xfId="5" applyFont="1" applyBorder="1" applyAlignment="1">
      <alignment vertical="center"/>
    </xf>
    <xf numFmtId="0" fontId="3" fillId="0" borderId="38" xfId="5" applyFont="1" applyBorder="1" applyAlignment="1">
      <alignment vertical="center"/>
    </xf>
    <xf numFmtId="0" fontId="3" fillId="0" borderId="39" xfId="0" applyFont="1" applyBorder="1" applyAlignment="1">
      <alignment vertical="center"/>
    </xf>
    <xf numFmtId="0" fontId="3" fillId="0" borderId="53" xfId="5" applyFont="1" applyBorder="1" applyAlignment="1">
      <alignment vertical="center"/>
    </xf>
    <xf numFmtId="0" fontId="2" fillId="0" borderId="67" xfId="0" applyFont="1" applyBorder="1" applyAlignment="1">
      <alignment horizontal="left" vertical="top" wrapText="1"/>
    </xf>
    <xf numFmtId="0" fontId="5" fillId="0" borderId="36" xfId="82" applyFont="1" applyBorder="1" applyAlignment="1">
      <alignment vertical="center"/>
    </xf>
    <xf numFmtId="0" fontId="5" fillId="0" borderId="24" xfId="82" applyFont="1" applyBorder="1" applyAlignment="1">
      <alignment horizontal="left" vertical="center"/>
    </xf>
    <xf numFmtId="0" fontId="5" fillId="0" borderId="36" xfId="82" applyFont="1" applyBorder="1" applyAlignment="1">
      <alignment horizontal="center" vertical="center"/>
    </xf>
    <xf numFmtId="0" fontId="3" fillId="0" borderId="24" xfId="82" applyFont="1" applyBorder="1" applyAlignment="1">
      <alignment horizontal="left" vertical="center"/>
    </xf>
    <xf numFmtId="0" fontId="5" fillId="0" borderId="24" xfId="82" applyFont="1" applyBorder="1" applyAlignment="1">
      <alignment vertical="center"/>
    </xf>
    <xf numFmtId="0" fontId="3" fillId="0" borderId="36" xfId="82" applyFont="1" applyBorder="1" applyAlignment="1">
      <alignment horizontal="center" vertical="center"/>
    </xf>
    <xf numFmtId="0" fontId="3" fillId="0" borderId="24" xfId="82" applyFont="1" applyBorder="1" applyAlignment="1">
      <alignment vertical="center" wrapText="1"/>
    </xf>
    <xf numFmtId="0" fontId="3" fillId="0" borderId="24" xfId="82" applyFont="1" applyBorder="1" applyAlignment="1">
      <alignment vertical="center"/>
    </xf>
    <xf numFmtId="2" fontId="5" fillId="0" borderId="0" xfId="82" applyNumberFormat="1" applyFont="1" applyAlignment="1">
      <alignment horizontal="right" vertical="center"/>
    </xf>
    <xf numFmtId="0" fontId="5" fillId="0" borderId="0" xfId="47" applyFont="1" applyAlignment="1">
      <alignment horizontal="center" vertical="center" wrapText="1"/>
    </xf>
    <xf numFmtId="0" fontId="3" fillId="0" borderId="53" xfId="47" applyFont="1" applyBorder="1" applyAlignment="1">
      <alignment vertical="center"/>
    </xf>
    <xf numFmtId="1" fontId="3" fillId="0" borderId="54" xfId="47" applyNumberFormat="1" applyFont="1" applyBorder="1" applyAlignment="1">
      <alignment vertical="center"/>
    </xf>
    <xf numFmtId="0" fontId="3" fillId="0" borderId="22" xfId="47" applyFont="1" applyBorder="1" applyAlignment="1">
      <alignment vertical="center"/>
    </xf>
    <xf numFmtId="0" fontId="3" fillId="0" borderId="23" xfId="47" applyFont="1" applyBorder="1" applyAlignment="1">
      <alignment vertical="center"/>
    </xf>
    <xf numFmtId="0" fontId="1" fillId="0" borderId="22" xfId="47" applyBorder="1"/>
    <xf numFmtId="0" fontId="1" fillId="0" borderId="23" xfId="47" applyBorder="1"/>
    <xf numFmtId="0" fontId="0" fillId="0" borderId="22" xfId="47" applyFont="1" applyBorder="1"/>
    <xf numFmtId="0" fontId="0" fillId="0" borderId="33" xfId="47" quotePrefix="1" applyFont="1" applyBorder="1"/>
    <xf numFmtId="0" fontId="1" fillId="0" borderId="34" xfId="47" applyBorder="1" applyAlignment="1">
      <alignment horizontal="center"/>
    </xf>
    <xf numFmtId="0" fontId="1" fillId="0" borderId="34" xfId="47" applyBorder="1"/>
    <xf numFmtId="0" fontId="1" fillId="0" borderId="35" xfId="47" applyBorder="1"/>
    <xf numFmtId="0" fontId="5" fillId="0" borderId="0" xfId="83" applyFont="1" applyAlignment="1">
      <alignment horizontal="right" vertical="center"/>
    </xf>
    <xf numFmtId="0" fontId="3" fillId="0" borderId="22" xfId="83" applyFont="1" applyBorder="1"/>
    <xf numFmtId="0" fontId="5" fillId="0" borderId="0" xfId="83" applyFont="1" applyAlignment="1">
      <alignment horizontal="center" vertical="top" wrapText="1"/>
    </xf>
    <xf numFmtId="0" fontId="5" fillId="0" borderId="0" xfId="83" applyFont="1" applyAlignment="1">
      <alignment vertical="top" wrapText="1"/>
    </xf>
    <xf numFmtId="0" fontId="5" fillId="0" borderId="23" xfId="83" applyFont="1" applyBorder="1" applyAlignment="1">
      <alignment vertical="top" wrapText="1"/>
    </xf>
    <xf numFmtId="0" fontId="5" fillId="2" borderId="36" xfId="83" applyFont="1" applyFill="1" applyBorder="1" applyAlignment="1">
      <alignment horizontal="center" vertical="center" wrapText="1"/>
    </xf>
    <xf numFmtId="0" fontId="5" fillId="2" borderId="24" xfId="83" applyFont="1" applyFill="1" applyBorder="1" applyAlignment="1">
      <alignment horizontal="center" vertical="top" wrapText="1"/>
    </xf>
    <xf numFmtId="0" fontId="5" fillId="0" borderId="36" xfId="83" applyFont="1" applyBorder="1" applyAlignment="1">
      <alignment horizontal="center" vertical="top" wrapText="1"/>
    </xf>
    <xf numFmtId="0" fontId="5" fillId="0" borderId="24" xfId="83" applyFont="1" applyBorder="1" applyAlignment="1">
      <alignment horizontal="center" vertical="top" wrapText="1"/>
    </xf>
    <xf numFmtId="0" fontId="3" fillId="0" borderId="36" xfId="83" applyFont="1" applyBorder="1" applyAlignment="1">
      <alignment horizontal="center" vertical="top"/>
    </xf>
    <xf numFmtId="0" fontId="3" fillId="0" borderId="24" xfId="83" applyFont="1" applyBorder="1" applyAlignment="1">
      <alignment horizontal="right" vertical="top" wrapText="1"/>
    </xf>
    <xf numFmtId="0" fontId="3" fillId="0" borderId="36" xfId="83" applyFont="1" applyBorder="1" applyAlignment="1">
      <alignment horizontal="center"/>
    </xf>
    <xf numFmtId="41" fontId="3" fillId="0" borderId="24" xfId="83" applyNumberFormat="1" applyFont="1" applyBorder="1" applyAlignment="1">
      <alignment horizontal="right" vertical="top" wrapText="1"/>
    </xf>
    <xf numFmtId="41" fontId="3" fillId="0" borderId="24" xfId="83" applyNumberFormat="1" applyFont="1" applyBorder="1"/>
    <xf numFmtId="41" fontId="3" fillId="0" borderId="24" xfId="5" applyNumberFormat="1" applyFont="1" applyBorder="1"/>
    <xf numFmtId="0" fontId="3" fillId="0" borderId="36" xfId="84" applyFont="1" applyBorder="1" applyAlignment="1">
      <alignment horizontal="center" vertical="center"/>
    </xf>
    <xf numFmtId="41" fontId="3" fillId="0" borderId="24" xfId="84" applyNumberFormat="1" applyFont="1" applyBorder="1" applyAlignment="1">
      <alignment horizontal="right" wrapText="1"/>
    </xf>
    <xf numFmtId="0" fontId="3" fillId="0" borderId="22" xfId="83" applyFont="1" applyBorder="1" applyAlignment="1">
      <alignment horizontal="center"/>
    </xf>
    <xf numFmtId="0" fontId="3" fillId="0" borderId="0" xfId="83" applyFont="1" applyAlignment="1">
      <alignment vertical="top" wrapText="1"/>
    </xf>
    <xf numFmtId="0" fontId="3" fillId="0" borderId="0" xfId="83" applyFont="1" applyAlignment="1">
      <alignment horizontal="right" vertical="top" wrapText="1"/>
    </xf>
    <xf numFmtId="0" fontId="3" fillId="0" borderId="0" xfId="83" applyFont="1" applyAlignment="1">
      <alignment horizontal="right"/>
    </xf>
    <xf numFmtId="1" fontId="7" fillId="0" borderId="0" xfId="5" applyNumberFormat="1" applyFont="1"/>
    <xf numFmtId="1" fontId="7" fillId="0" borderId="23" xfId="5" applyNumberFormat="1" applyFont="1" applyBorder="1"/>
    <xf numFmtId="0" fontId="3" fillId="0" borderId="22" xfId="83" applyFont="1" applyBorder="1" applyAlignment="1">
      <alignment vertical="center"/>
    </xf>
    <xf numFmtId="0" fontId="3" fillId="0" borderId="0" xfId="83" applyFont="1" applyAlignment="1">
      <alignment vertical="center" wrapText="1"/>
    </xf>
    <xf numFmtId="0" fontId="3" fillId="0" borderId="0" xfId="83" applyFont="1" applyAlignment="1">
      <alignment horizontal="right" vertical="center" wrapText="1"/>
    </xf>
    <xf numFmtId="0" fontId="3" fillId="0" borderId="0" xfId="83" applyFont="1" applyAlignment="1">
      <alignment horizontal="right" vertical="center"/>
    </xf>
    <xf numFmtId="0" fontId="3" fillId="0" borderId="23" xfId="83" applyFont="1" applyBorder="1" applyAlignment="1">
      <alignment vertical="center"/>
    </xf>
    <xf numFmtId="0" fontId="3" fillId="0" borderId="22" xfId="83" applyFont="1" applyBorder="1" applyAlignment="1">
      <alignment horizontal="left" vertical="center"/>
    </xf>
    <xf numFmtId="0" fontId="3" fillId="0" borderId="0" xfId="84" applyFont="1" applyAlignment="1">
      <alignment vertical="center"/>
    </xf>
    <xf numFmtId="1" fontId="3" fillId="0" borderId="0" xfId="84" applyNumberFormat="1" applyFont="1" applyAlignment="1">
      <alignment vertical="center"/>
    </xf>
    <xf numFmtId="41" fontId="3" fillId="0" borderId="24" xfId="84" applyNumberFormat="1" applyFont="1" applyBorder="1" applyAlignment="1">
      <alignment vertical="center"/>
    </xf>
    <xf numFmtId="0" fontId="3" fillId="0" borderId="22" xfId="84" applyFont="1" applyBorder="1" applyAlignment="1">
      <alignment vertical="center"/>
    </xf>
    <xf numFmtId="1" fontId="3" fillId="0" borderId="23" xfId="84" applyNumberFormat="1" applyFont="1" applyBorder="1" applyAlignment="1">
      <alignment vertical="center"/>
    </xf>
    <xf numFmtId="0" fontId="3" fillId="0" borderId="23" xfId="84" applyFont="1" applyBorder="1" applyAlignment="1">
      <alignment vertical="center"/>
    </xf>
    <xf numFmtId="0" fontId="5" fillId="0" borderId="22" xfId="85" applyFont="1" applyBorder="1" applyAlignment="1">
      <alignment horizontal="center" vertical="center" wrapText="1"/>
    </xf>
    <xf numFmtId="0" fontId="3" fillId="0" borderId="0" xfId="85" applyFont="1" applyAlignment="1">
      <alignment horizontal="center" vertical="center" wrapText="1"/>
    </xf>
    <xf numFmtId="0" fontId="3" fillId="0" borderId="36" xfId="85" applyFont="1" applyBorder="1" applyAlignment="1">
      <alignment horizontal="center" vertical="center" wrapText="1"/>
    </xf>
    <xf numFmtId="0" fontId="3" fillId="0" borderId="24" xfId="85" applyFont="1" applyBorder="1" applyAlignment="1">
      <alignment horizontal="left" vertical="center"/>
    </xf>
    <xf numFmtId="0" fontId="3" fillId="0" borderId="24" xfId="85" applyFont="1" applyBorder="1" applyAlignment="1">
      <alignment vertical="center"/>
    </xf>
    <xf numFmtId="0" fontId="3" fillId="0" borderId="24" xfId="85" applyFont="1" applyBorder="1" applyAlignment="1">
      <alignment vertical="center" wrapText="1"/>
    </xf>
    <xf numFmtId="0" fontId="3" fillId="0" borderId="24" xfId="85" applyFont="1" applyBorder="1" applyAlignment="1">
      <alignment horizontal="left" vertical="center" wrapText="1"/>
    </xf>
    <xf numFmtId="0" fontId="5" fillId="0" borderId="24" xfId="85" applyFont="1" applyBorder="1" applyAlignment="1">
      <alignment vertical="center" wrapText="1"/>
    </xf>
    <xf numFmtId="0" fontId="3" fillId="0" borderId="22" xfId="85" applyFont="1" applyBorder="1"/>
    <xf numFmtId="0" fontId="3" fillId="0" borderId="23" xfId="85" applyFont="1" applyBorder="1"/>
    <xf numFmtId="0" fontId="3" fillId="0" borderId="33" xfId="85" applyFont="1" applyBorder="1"/>
    <xf numFmtId="0" fontId="3" fillId="0" borderId="34" xfId="85" applyFont="1" applyBorder="1"/>
    <xf numFmtId="0" fontId="3" fillId="0" borderId="35" xfId="85" applyFont="1" applyBorder="1"/>
    <xf numFmtId="0" fontId="3" fillId="0" borderId="36" xfId="85" applyFont="1" applyBorder="1" applyAlignment="1">
      <alignment horizontal="center" vertical="center"/>
    </xf>
    <xf numFmtId="0" fontId="5" fillId="2" borderId="36" xfId="85" applyFont="1" applyFill="1" applyBorder="1" applyAlignment="1">
      <alignment horizontal="center" vertical="center" wrapText="1"/>
    </xf>
    <xf numFmtId="0" fontId="5" fillId="2" borderId="24" xfId="85" applyFont="1" applyFill="1" applyBorder="1" applyAlignment="1">
      <alignment horizontal="center" vertical="center" wrapText="1"/>
    </xf>
    <xf numFmtId="0" fontId="5" fillId="0" borderId="24" xfId="85" applyFont="1" applyBorder="1" applyAlignment="1">
      <alignment vertical="center"/>
    </xf>
    <xf numFmtId="0" fontId="3" fillId="0" borderId="22" xfId="85" applyFont="1" applyBorder="1" applyAlignment="1">
      <alignment horizontal="left" vertical="center"/>
    </xf>
    <xf numFmtId="0" fontId="3" fillId="0" borderId="37" xfId="9" applyFont="1" applyBorder="1" applyAlignment="1">
      <alignment horizontal="left"/>
    </xf>
    <xf numFmtId="0" fontId="3" fillId="0" borderId="24" xfId="56" applyFont="1" applyBorder="1"/>
    <xf numFmtId="0" fontId="3" fillId="0" borderId="37" xfId="9" applyFont="1" applyBorder="1"/>
    <xf numFmtId="0" fontId="3" fillId="0" borderId="37" xfId="9" applyFont="1" applyBorder="1" applyAlignment="1">
      <alignment vertical="top" wrapText="1"/>
    </xf>
    <xf numFmtId="0" fontId="3" fillId="0" borderId="24" xfId="56" applyFont="1" applyBorder="1" applyAlignment="1">
      <alignment vertical="top"/>
    </xf>
    <xf numFmtId="0" fontId="3" fillId="0" borderId="37" xfId="9" applyFont="1" applyBorder="1" applyAlignment="1">
      <alignment horizontal="center" wrapText="1"/>
    </xf>
    <xf numFmtId="0" fontId="3" fillId="0" borderId="24" xfId="56" applyFont="1" applyBorder="1" applyAlignment="1">
      <alignment wrapText="1"/>
    </xf>
    <xf numFmtId="0" fontId="3" fillId="0" borderId="22" xfId="56" applyFont="1" applyBorder="1"/>
    <xf numFmtId="0" fontId="96" fillId="0" borderId="23" xfId="95" applyFont="1" applyBorder="1" applyAlignment="1">
      <alignment horizontal="left" vertical="top" wrapText="1"/>
    </xf>
    <xf numFmtId="0" fontId="5" fillId="0" borderId="37" xfId="56" applyFont="1" applyBorder="1"/>
    <xf numFmtId="0" fontId="5" fillId="0" borderId="24" xfId="56" applyFont="1" applyBorder="1" applyAlignment="1">
      <alignment wrapText="1"/>
    </xf>
    <xf numFmtId="0" fontId="5" fillId="0" borderId="22" xfId="56" applyFont="1" applyBorder="1" applyAlignment="1">
      <alignment wrapText="1"/>
    </xf>
    <xf numFmtId="0" fontId="5" fillId="0" borderId="0" xfId="56" applyFont="1"/>
    <xf numFmtId="0" fontId="5" fillId="0" borderId="23" xfId="56" applyFont="1" applyBorder="1"/>
    <xf numFmtId="0" fontId="3" fillId="0" borderId="22" xfId="56" applyFont="1" applyBorder="1" applyAlignment="1">
      <alignment vertical="center"/>
    </xf>
    <xf numFmtId="0" fontId="3" fillId="0" borderId="23" xfId="56" applyFont="1" applyBorder="1" applyAlignment="1">
      <alignment vertical="center"/>
    </xf>
    <xf numFmtId="0" fontId="3" fillId="0" borderId="33" xfId="56" applyFont="1" applyBorder="1"/>
    <xf numFmtId="0" fontId="3" fillId="0" borderId="34" xfId="56" applyFont="1" applyBorder="1"/>
    <xf numFmtId="0" fontId="3" fillId="0" borderId="35" xfId="56" applyFont="1" applyBorder="1"/>
    <xf numFmtId="0" fontId="3" fillId="0" borderId="36" xfId="9" applyFont="1" applyBorder="1"/>
    <xf numFmtId="0" fontId="3" fillId="0" borderId="36" xfId="9" applyFont="1" applyBorder="1" applyAlignment="1">
      <alignment vertical="center" wrapText="1"/>
    </xf>
    <xf numFmtId="0" fontId="3" fillId="0" borderId="36" xfId="9" applyFont="1" applyBorder="1" applyAlignment="1">
      <alignment wrapText="1"/>
    </xf>
    <xf numFmtId="0" fontId="5" fillId="0" borderId="36" xfId="56" applyFont="1" applyBorder="1"/>
    <xf numFmtId="0" fontId="3" fillId="0" borderId="23" xfId="56" applyFont="1" applyBorder="1"/>
    <xf numFmtId="0" fontId="3" fillId="0" borderId="36" xfId="9" applyFont="1" applyBorder="1" applyAlignment="1">
      <alignment horizontal="left"/>
    </xf>
    <xf numFmtId="0" fontId="3" fillId="0" borderId="24" xfId="56" applyFont="1" applyBorder="1" applyAlignment="1">
      <alignment vertical="top" wrapText="1"/>
    </xf>
    <xf numFmtId="0" fontId="3" fillId="0" borderId="24" xfId="56" applyFont="1" applyBorder="1" applyAlignment="1">
      <alignment horizontal="left" wrapText="1"/>
    </xf>
    <xf numFmtId="0" fontId="3" fillId="0" borderId="33" xfId="56" quotePrefix="1" applyFont="1" applyBorder="1"/>
    <xf numFmtId="0" fontId="12" fillId="0" borderId="0" xfId="0" applyFont="1" applyAlignment="1">
      <alignment horizontal="right" vertical="center" wrapText="1"/>
    </xf>
    <xf numFmtId="0" fontId="12" fillId="0" borderId="0" xfId="0" applyFont="1" applyAlignment="1">
      <alignment vertical="center" wrapText="1"/>
    </xf>
    <xf numFmtId="0" fontId="12" fillId="0" borderId="0" xfId="0" applyFont="1"/>
    <xf numFmtId="0" fontId="64" fillId="0" borderId="23" xfId="0" applyFont="1" applyBorder="1" applyAlignment="1">
      <alignment horizontal="center" vertical="center"/>
    </xf>
    <xf numFmtId="2" fontId="61" fillId="0" borderId="0" xfId="0" applyNumberFormat="1" applyFont="1" applyAlignment="1">
      <alignment horizontal="right" vertical="center"/>
    </xf>
    <xf numFmtId="0" fontId="69" fillId="0" borderId="22" xfId="0" applyFont="1" applyBorder="1" applyAlignment="1">
      <alignment vertical="center"/>
    </xf>
    <xf numFmtId="0" fontId="69" fillId="0" borderId="23" xfId="0" applyFont="1" applyBorder="1" applyAlignment="1">
      <alignment vertical="center"/>
    </xf>
    <xf numFmtId="41" fontId="3" fillId="0" borderId="0" xfId="0" applyNumberFormat="1" applyFont="1" applyAlignment="1">
      <alignment horizontal="right" vertical="center"/>
    </xf>
    <xf numFmtId="0" fontId="3" fillId="0" borderId="46" xfId="0" applyFont="1" applyBorder="1" applyAlignment="1">
      <alignment horizontal="left" vertical="center" wrapText="1"/>
    </xf>
    <xf numFmtId="0" fontId="5" fillId="0" borderId="69" xfId="0" applyFont="1" applyBorder="1" applyAlignment="1">
      <alignment horizontal="center" vertical="center" wrapText="1"/>
    </xf>
    <xf numFmtId="0" fontId="66" fillId="2" borderId="36" xfId="0" applyFont="1" applyFill="1" applyBorder="1" applyAlignment="1">
      <alignment horizontal="center" vertical="center" wrapText="1"/>
    </xf>
    <xf numFmtId="0" fontId="66" fillId="2" borderId="24" xfId="0" applyFont="1" applyFill="1" applyBorder="1" applyAlignment="1">
      <alignment horizontal="center" vertical="center" wrapText="1"/>
    </xf>
    <xf numFmtId="170" fontId="3" fillId="0" borderId="24" xfId="0" applyNumberFormat="1" applyFont="1" applyBorder="1" applyAlignment="1">
      <alignment horizontal="right" vertical="center" wrapText="1"/>
    </xf>
    <xf numFmtId="0" fontId="71" fillId="0" borderId="34" xfId="0" applyFont="1" applyBorder="1"/>
    <xf numFmtId="0" fontId="71" fillId="0" borderId="35" xfId="0" applyFont="1" applyBorder="1"/>
    <xf numFmtId="0" fontId="0" fillId="0" borderId="24" xfId="0" applyBorder="1" applyAlignment="1">
      <alignment vertical="center" wrapText="1"/>
    </xf>
    <xf numFmtId="0" fontId="5" fillId="2" borderId="36" xfId="1" applyFont="1" applyFill="1" applyBorder="1" applyAlignment="1">
      <alignment horizontal="center" vertical="center" wrapText="1"/>
    </xf>
    <xf numFmtId="0" fontId="5" fillId="2" borderId="24" xfId="1" applyFont="1" applyFill="1" applyBorder="1" applyAlignment="1">
      <alignment horizontal="center" vertical="center" wrapText="1"/>
    </xf>
    <xf numFmtId="0" fontId="3" fillId="0" borderId="36" xfId="1" quotePrefix="1" applyFont="1" applyBorder="1" applyAlignment="1">
      <alignment horizontal="center" vertical="center" wrapText="1"/>
    </xf>
    <xf numFmtId="0" fontId="5" fillId="0" borderId="50" xfId="1" applyFont="1" applyBorder="1" applyAlignment="1">
      <alignment vertical="center" wrapText="1"/>
    </xf>
    <xf numFmtId="0" fontId="3" fillId="0" borderId="36" xfId="1" applyFont="1" applyBorder="1" applyAlignment="1">
      <alignment horizontal="center" vertical="center" wrapText="1"/>
    </xf>
    <xf numFmtId="0" fontId="5" fillId="0" borderId="24" xfId="1" applyFont="1" applyBorder="1" applyAlignment="1">
      <alignment vertical="center" wrapText="1"/>
    </xf>
    <xf numFmtId="0" fontId="5" fillId="0" borderId="50" xfId="1" applyFont="1" applyBorder="1" applyAlignment="1">
      <alignment horizontal="left" vertical="center" wrapText="1"/>
    </xf>
    <xf numFmtId="0" fontId="3" fillId="0" borderId="24" xfId="1" applyFont="1" applyBorder="1" applyAlignment="1">
      <alignment vertical="center" wrapText="1"/>
    </xf>
    <xf numFmtId="0" fontId="3" fillId="0" borderId="22" xfId="1" applyFont="1" applyBorder="1" applyAlignment="1">
      <alignment horizontal="center" vertical="center" wrapText="1"/>
    </xf>
    <xf numFmtId="0" fontId="3" fillId="0" borderId="0" xfId="1" applyFont="1" applyAlignment="1">
      <alignment vertical="center" wrapText="1"/>
    </xf>
    <xf numFmtId="2" fontId="3" fillId="0" borderId="0" xfId="1" applyNumberFormat="1" applyFont="1" applyAlignment="1">
      <alignment horizontal="right" vertical="center" wrapText="1"/>
    </xf>
    <xf numFmtId="2" fontId="3" fillId="0" borderId="0" xfId="1" applyNumberFormat="1" applyFont="1" applyAlignment="1">
      <alignment vertical="center" wrapText="1"/>
    </xf>
    <xf numFmtId="0" fontId="1" fillId="0" borderId="23" xfId="0" applyFont="1" applyBorder="1" applyAlignment="1">
      <alignment vertical="center"/>
    </xf>
    <xf numFmtId="0" fontId="1" fillId="0" borderId="22" xfId="0" applyFont="1" applyBorder="1"/>
    <xf numFmtId="0" fontId="1" fillId="0" borderId="23" xfId="0" applyFont="1" applyBorder="1"/>
    <xf numFmtId="0" fontId="1" fillId="0" borderId="33" xfId="0" applyFont="1" applyBorder="1"/>
    <xf numFmtId="0" fontId="1" fillId="0" borderId="34" xfId="0" applyFont="1" applyBorder="1"/>
    <xf numFmtId="0" fontId="1" fillId="0" borderId="35" xfId="0" applyFont="1" applyBorder="1"/>
    <xf numFmtId="0" fontId="40" fillId="5" borderId="36" xfId="0" applyFont="1" applyFill="1" applyBorder="1" applyAlignment="1">
      <alignment horizontal="center" vertical="top" wrapText="1"/>
    </xf>
    <xf numFmtId="0" fontId="40" fillId="5" borderId="24" xfId="0" applyFont="1" applyFill="1" applyBorder="1" applyAlignment="1">
      <alignment horizontal="left" vertical="top" wrapText="1"/>
    </xf>
    <xf numFmtId="0" fontId="13" fillId="0" borderId="22" xfId="0" applyFont="1" applyBorder="1" applyAlignment="1">
      <alignment horizontal="center" vertical="center" wrapText="1"/>
    </xf>
    <xf numFmtId="0" fontId="13" fillId="0" borderId="0" xfId="0" applyFont="1" applyAlignment="1">
      <alignment horizontal="center" vertical="center" wrapText="1"/>
    </xf>
    <xf numFmtId="0" fontId="13" fillId="0" borderId="23" xfId="0" applyFont="1" applyBorder="1" applyAlignment="1">
      <alignment horizontal="center" vertical="center" wrapText="1"/>
    </xf>
    <xf numFmtId="0" fontId="0" fillId="0" borderId="24" xfId="0" applyBorder="1" applyAlignment="1">
      <alignment horizontal="left" vertical="center" wrapText="1"/>
    </xf>
    <xf numFmtId="0" fontId="3" fillId="0" borderId="38" xfId="0" applyFont="1" applyBorder="1" applyAlignment="1">
      <alignment vertical="center"/>
    </xf>
    <xf numFmtId="0" fontId="3" fillId="0" borderId="39" xfId="2" applyFont="1" applyBorder="1" applyAlignment="1">
      <alignment horizontal="center" vertical="center"/>
    </xf>
    <xf numFmtId="0" fontId="5" fillId="0" borderId="24" xfId="0" applyFont="1" applyBorder="1" applyAlignment="1">
      <alignment vertical="center" wrapText="1"/>
    </xf>
    <xf numFmtId="0" fontId="5" fillId="0" borderId="42" xfId="0" applyFont="1" applyBorder="1" applyAlignment="1">
      <alignment vertical="center" wrapText="1"/>
    </xf>
    <xf numFmtId="0" fontId="3" fillId="0" borderId="53" xfId="0" applyFont="1" applyBorder="1" applyAlignment="1">
      <alignment horizontal="center"/>
    </xf>
    <xf numFmtId="0" fontId="5" fillId="0" borderId="54" xfId="0" applyFont="1" applyBorder="1" applyAlignment="1">
      <alignment horizontal="left" indent="1"/>
    </xf>
    <xf numFmtId="0" fontId="5" fillId="0" borderId="0" xfId="0" applyFont="1" applyAlignment="1">
      <alignment horizontal="left" wrapText="1"/>
    </xf>
    <xf numFmtId="0" fontId="5" fillId="0" borderId="23" xfId="0" applyFont="1" applyBorder="1" applyAlignment="1">
      <alignment horizontal="left" wrapText="1"/>
    </xf>
    <xf numFmtId="0" fontId="5" fillId="0" borderId="34" xfId="0" applyFont="1" applyBorder="1" applyAlignment="1">
      <alignment horizontal="right" wrapText="1"/>
    </xf>
    <xf numFmtId="0" fontId="5" fillId="0" borderId="0" xfId="3" applyFont="1" applyAlignment="1">
      <alignment horizontal="center" vertical="center"/>
    </xf>
    <xf numFmtId="0" fontId="9" fillId="0" borderId="24" xfId="0" applyFont="1" applyBorder="1" applyAlignment="1">
      <alignment wrapText="1"/>
    </xf>
    <xf numFmtId="0" fontId="3" fillId="0" borderId="22" xfId="0" applyFont="1" applyBorder="1" applyAlignment="1">
      <alignment horizontal="left"/>
    </xf>
    <xf numFmtId="0" fontId="3" fillId="0" borderId="33" xfId="0" applyFont="1" applyBorder="1" applyAlignment="1">
      <alignment horizontal="center"/>
    </xf>
    <xf numFmtId="49" fontId="3" fillId="0" borderId="22" xfId="0" applyNumberFormat="1" applyFont="1" applyBorder="1" applyAlignment="1">
      <alignment horizontal="left" vertical="top"/>
    </xf>
    <xf numFmtId="49" fontId="3" fillId="0" borderId="34" xfId="0" applyNumberFormat="1" applyFont="1" applyBorder="1"/>
    <xf numFmtId="1" fontId="5" fillId="2" borderId="45" xfId="10" applyNumberFormat="1" applyFont="1" applyFill="1" applyBorder="1" applyAlignment="1">
      <alignment horizontal="center" vertical="center" wrapText="1"/>
    </xf>
    <xf numFmtId="1" fontId="5" fillId="2" borderId="46" xfId="10" applyNumberFormat="1" applyFont="1" applyFill="1" applyBorder="1" applyAlignment="1">
      <alignment horizontal="center" vertical="center"/>
    </xf>
    <xf numFmtId="0" fontId="3" fillId="0" borderId="36" xfId="10" applyFont="1" applyBorder="1" applyAlignment="1">
      <alignment horizontal="center" vertical="center"/>
    </xf>
    <xf numFmtId="0" fontId="3" fillId="0" borderId="24" xfId="10" applyFont="1" applyBorder="1" applyAlignment="1">
      <alignment vertical="center"/>
    </xf>
    <xf numFmtId="1" fontId="5" fillId="0" borderId="24" xfId="10" applyNumberFormat="1" applyFont="1" applyBorder="1" applyAlignment="1">
      <alignment horizontal="left" indent="2"/>
    </xf>
    <xf numFmtId="0" fontId="5" fillId="0" borderId="36" xfId="10" applyFont="1" applyBorder="1" applyAlignment="1">
      <alignment vertical="center"/>
    </xf>
    <xf numFmtId="1" fontId="3" fillId="0" borderId="24" xfId="10" applyNumberFormat="1" applyFont="1" applyBorder="1" applyAlignment="1">
      <alignment horizontal="left" indent="2"/>
    </xf>
    <xf numFmtId="0" fontId="70" fillId="0" borderId="24" xfId="0" applyFont="1" applyBorder="1" applyAlignment="1">
      <alignment vertical="center"/>
    </xf>
    <xf numFmtId="1" fontId="5" fillId="0" borderId="24" xfId="10" applyNumberFormat="1" applyFont="1" applyBorder="1" applyAlignment="1">
      <alignment horizontal="left" vertical="center" indent="2"/>
    </xf>
    <xf numFmtId="1" fontId="5" fillId="0" borderId="42" xfId="10" applyNumberFormat="1" applyFont="1" applyBorder="1" applyAlignment="1">
      <alignment horizontal="left" vertical="center" indent="2"/>
    </xf>
    <xf numFmtId="0" fontId="7" fillId="0" borderId="22" xfId="10" applyFont="1" applyBorder="1" applyAlignment="1">
      <alignment horizontal="left" vertical="center"/>
    </xf>
    <xf numFmtId="0" fontId="7" fillId="0" borderId="0" xfId="10" applyFont="1" applyAlignment="1">
      <alignment horizontal="left" vertical="center"/>
    </xf>
    <xf numFmtId="0" fontId="3" fillId="0" borderId="0" xfId="10" applyFont="1"/>
    <xf numFmtId="1" fontId="3" fillId="0" borderId="0" xfId="10" applyNumberFormat="1" applyFont="1" applyAlignment="1">
      <alignment vertical="center"/>
    </xf>
    <xf numFmtId="0" fontId="3" fillId="0" borderId="0" xfId="10" applyFont="1" applyAlignment="1">
      <alignment vertical="center"/>
    </xf>
    <xf numFmtId="1" fontId="3" fillId="0" borderId="0" xfId="10" applyNumberFormat="1" applyFont="1"/>
    <xf numFmtId="1" fontId="3" fillId="0" borderId="23" xfId="10" applyNumberFormat="1" applyFont="1" applyBorder="1"/>
    <xf numFmtId="0" fontId="3" fillId="0" borderId="22" xfId="10" applyFont="1" applyBorder="1" applyAlignment="1">
      <alignment horizontal="left" vertical="center"/>
    </xf>
    <xf numFmtId="0" fontId="3" fillId="0" borderId="23" xfId="10" applyFont="1" applyBorder="1" applyAlignment="1">
      <alignment vertical="center"/>
    </xf>
    <xf numFmtId="0" fontId="0" fillId="0" borderId="24" xfId="0" applyBorder="1" applyAlignment="1">
      <alignment horizontal="right" vertical="center"/>
    </xf>
    <xf numFmtId="2" fontId="0" fillId="0" borderId="24" xfId="0" applyNumberFormat="1" applyBorder="1" applyAlignment="1">
      <alignment horizontal="right" vertical="center"/>
    </xf>
    <xf numFmtId="0" fontId="5" fillId="2" borderId="24" xfId="10" applyFont="1" applyFill="1" applyBorder="1" applyAlignment="1">
      <alignment horizontal="center" vertical="center"/>
    </xf>
    <xf numFmtId="0" fontId="3" fillId="0" borderId="24" xfId="10" applyFont="1" applyBorder="1" applyAlignment="1">
      <alignment horizontal="left"/>
    </xf>
    <xf numFmtId="0" fontId="3" fillId="0" borderId="36" xfId="10" applyFont="1" applyBorder="1" applyAlignment="1">
      <alignment horizontal="center"/>
    </xf>
    <xf numFmtId="1" fontId="5" fillId="0" borderId="24" xfId="10" applyNumberFormat="1" applyFont="1" applyBorder="1"/>
    <xf numFmtId="0" fontId="5" fillId="0" borderId="36" xfId="10" applyFont="1" applyBorder="1"/>
    <xf numFmtId="1" fontId="3" fillId="0" borderId="24" xfId="10" applyNumberFormat="1" applyFont="1" applyBorder="1"/>
    <xf numFmtId="1" fontId="5" fillId="0" borderId="24" xfId="10" applyNumberFormat="1" applyFont="1" applyBorder="1" applyAlignment="1">
      <alignment horizontal="left"/>
    </xf>
    <xf numFmtId="1" fontId="5" fillId="0" borderId="42" xfId="10" applyNumberFormat="1" applyFont="1" applyBorder="1" applyAlignment="1">
      <alignment horizontal="left"/>
    </xf>
    <xf numFmtId="0" fontId="5" fillId="0" borderId="53" xfId="10" applyFont="1" applyBorder="1" applyAlignment="1">
      <alignment horizontal="center"/>
    </xf>
    <xf numFmtId="1" fontId="5" fillId="0" borderId="54" xfId="10" applyNumberFormat="1" applyFont="1" applyBorder="1" applyAlignment="1">
      <alignment horizontal="right"/>
    </xf>
    <xf numFmtId="0" fontId="3" fillId="0" borderId="0" xfId="10" applyFont="1" applyAlignment="1">
      <alignment horizontal="left"/>
    </xf>
    <xf numFmtId="1" fontId="71" fillId="0" borderId="23" xfId="10" applyNumberFormat="1" applyFont="1" applyBorder="1"/>
    <xf numFmtId="0" fontId="3" fillId="0" borderId="33" xfId="10" applyFont="1" applyBorder="1" applyAlignment="1">
      <alignment horizontal="left"/>
    </xf>
    <xf numFmtId="0" fontId="71" fillId="0" borderId="34" xfId="10" applyFont="1" applyBorder="1" applyAlignment="1">
      <alignment horizontal="left"/>
    </xf>
    <xf numFmtId="1" fontId="71" fillId="0" borderId="34" xfId="10" applyNumberFormat="1" applyFont="1" applyBorder="1"/>
    <xf numFmtId="0" fontId="71" fillId="0" borderId="34" xfId="10" applyFont="1" applyBorder="1"/>
    <xf numFmtId="1" fontId="71" fillId="0" borderId="34" xfId="10" applyNumberFormat="1" applyFont="1" applyBorder="1" applyAlignment="1">
      <alignment vertical="center"/>
    </xf>
    <xf numFmtId="0" fontId="71" fillId="0" borderId="34" xfId="10" applyFont="1" applyBorder="1" applyAlignment="1">
      <alignment vertical="center"/>
    </xf>
    <xf numFmtId="1" fontId="71" fillId="0" borderId="35" xfId="10" applyNumberFormat="1" applyFont="1" applyBorder="1"/>
    <xf numFmtId="0" fontId="3" fillId="0" borderId="36" xfId="0" applyFont="1" applyBorder="1" applyAlignment="1">
      <alignment horizontal="left" indent="1"/>
    </xf>
    <xf numFmtId="0" fontId="3" fillId="0" borderId="24" xfId="0" applyFont="1" applyBorder="1"/>
    <xf numFmtId="0" fontId="3" fillId="6" borderId="36" xfId="0" applyFont="1" applyFill="1" applyBorder="1" applyAlignment="1">
      <alignment horizontal="left" indent="1"/>
    </xf>
    <xf numFmtId="0" fontId="3" fillId="0" borderId="36" xfId="0" applyFont="1" applyBorder="1" applyAlignment="1">
      <alignment horizontal="left" wrapText="1" indent="1"/>
    </xf>
    <xf numFmtId="0" fontId="5" fillId="0" borderId="24" xfId="0" applyFont="1" applyBorder="1"/>
    <xf numFmtId="0" fontId="5" fillId="0" borderId="24" xfId="0" applyFont="1" applyBorder="1" applyAlignment="1">
      <alignment wrapText="1"/>
    </xf>
    <xf numFmtId="0" fontId="3" fillId="0" borderId="0" xfId="0" applyFont="1" applyAlignment="1">
      <alignment horizontal="left" vertical="top" wrapText="1"/>
    </xf>
    <xf numFmtId="0" fontId="3" fillId="0" borderId="49" xfId="0" applyFont="1" applyBorder="1" applyAlignment="1">
      <alignment vertical="center"/>
    </xf>
    <xf numFmtId="0" fontId="3" fillId="0" borderId="46" xfId="0" applyFont="1" applyBorder="1" applyAlignment="1">
      <alignment vertical="center"/>
    </xf>
    <xf numFmtId="0" fontId="30" fillId="0" borderId="0" xfId="8" applyFont="1" applyAlignment="1">
      <alignment horizontal="center" vertical="center" wrapText="1"/>
    </xf>
    <xf numFmtId="0" fontId="1" fillId="0" borderId="24" xfId="0" applyFont="1" applyBorder="1" applyAlignment="1">
      <alignment vertical="center"/>
    </xf>
    <xf numFmtId="0" fontId="5" fillId="0" borderId="22" xfId="9" applyFont="1" applyBorder="1" applyAlignment="1">
      <alignment horizontal="center" vertical="center"/>
    </xf>
    <xf numFmtId="0" fontId="5" fillId="2" borderId="36" xfId="9" applyFont="1" applyFill="1" applyBorder="1" applyAlignment="1">
      <alignment horizontal="center" vertical="center" wrapText="1"/>
    </xf>
    <xf numFmtId="0" fontId="5" fillId="2" borderId="24" xfId="9" applyFont="1" applyFill="1" applyBorder="1" applyAlignment="1">
      <alignment horizontal="center" vertical="center"/>
    </xf>
    <xf numFmtId="0" fontId="3" fillId="0" borderId="36" xfId="9" applyFont="1" applyBorder="1" applyAlignment="1">
      <alignment horizontal="center" vertical="center"/>
    </xf>
    <xf numFmtId="0" fontId="3" fillId="0" borderId="24" xfId="9" applyFont="1" applyBorder="1" applyAlignment="1">
      <alignment vertical="center"/>
    </xf>
    <xf numFmtId="0" fontId="3" fillId="0" borderId="46" xfId="9" applyFont="1" applyBorder="1" applyAlignment="1">
      <alignment vertical="center"/>
    </xf>
    <xf numFmtId="0" fontId="3" fillId="0" borderId="24" xfId="9" applyFont="1" applyBorder="1" applyAlignment="1">
      <alignment vertical="center" wrapText="1"/>
    </xf>
    <xf numFmtId="0" fontId="5" fillId="0" borderId="24" xfId="9" applyFont="1" applyBorder="1" applyAlignment="1">
      <alignment horizontal="left" vertical="center"/>
    </xf>
    <xf numFmtId="0" fontId="3" fillId="0" borderId="34" xfId="4" applyFont="1" applyBorder="1" applyAlignment="1">
      <alignment vertical="top" wrapText="1"/>
    </xf>
    <xf numFmtId="0" fontId="3" fillId="0" borderId="35" xfId="4" applyFont="1" applyBorder="1" applyAlignment="1">
      <alignment vertical="top" wrapText="1"/>
    </xf>
    <xf numFmtId="0" fontId="3" fillId="0" borderId="23" xfId="0" applyFont="1" applyBorder="1" applyAlignment="1">
      <alignment horizontal="left" vertical="top"/>
    </xf>
    <xf numFmtId="0" fontId="3" fillId="0" borderId="24" xfId="0" applyFont="1" applyBorder="1" applyAlignment="1">
      <alignment horizontal="left" vertical="center" indent="5"/>
    </xf>
    <xf numFmtId="0" fontId="2" fillId="0" borderId="0" xfId="0" applyFont="1" applyAlignment="1">
      <alignment horizontal="center" vertical="center"/>
    </xf>
    <xf numFmtId="2" fontId="5" fillId="0" borderId="0" xfId="0" applyNumberFormat="1" applyFont="1" applyAlignment="1">
      <alignment horizontal="center" vertical="center"/>
    </xf>
    <xf numFmtId="0" fontId="0" fillId="0" borderId="0" xfId="0" applyAlignment="1">
      <alignment horizontal="left" vertical="center"/>
    </xf>
    <xf numFmtId="0" fontId="14" fillId="0" borderId="0" xfId="0" applyFont="1"/>
    <xf numFmtId="0" fontId="3" fillId="0" borderId="24" xfId="9" applyFont="1" applyBorder="1" applyAlignment="1">
      <alignment vertical="top"/>
    </xf>
    <xf numFmtId="0" fontId="5" fillId="0" borderId="24" xfId="9" applyFont="1" applyBorder="1" applyAlignment="1">
      <alignment vertical="top"/>
    </xf>
    <xf numFmtId="0" fontId="5" fillId="0" borderId="0" xfId="9" applyFont="1" applyAlignment="1">
      <alignment vertical="top"/>
    </xf>
    <xf numFmtId="0" fontId="5" fillId="0" borderId="0" xfId="9" applyFont="1" applyAlignment="1">
      <alignment horizontal="right" vertical="top"/>
    </xf>
    <xf numFmtId="0" fontId="3" fillId="0" borderId="0" xfId="9" applyFont="1" applyAlignment="1">
      <alignment vertical="top"/>
    </xf>
    <xf numFmtId="0" fontId="3" fillId="0" borderId="0" xfId="9" applyFont="1" applyAlignment="1">
      <alignment horizontal="left" vertical="top"/>
    </xf>
    <xf numFmtId="0" fontId="3" fillId="0" borderId="24" xfId="0" applyFont="1" applyBorder="1" applyAlignment="1">
      <alignment horizontal="left" vertical="top"/>
    </xf>
    <xf numFmtId="0" fontId="3" fillId="0" borderId="24" xfId="0" applyFont="1" applyBorder="1" applyAlignment="1">
      <alignment horizontal="left" vertical="top" wrapText="1"/>
    </xf>
    <xf numFmtId="0" fontId="3" fillId="0" borderId="24" xfId="0" applyFont="1" applyBorder="1" applyAlignment="1">
      <alignment horizontal="center" vertical="center" wrapText="1"/>
    </xf>
    <xf numFmtId="0" fontId="3" fillId="0" borderId="42" xfId="0" applyFont="1" applyBorder="1" applyAlignment="1">
      <alignment vertical="center" wrapText="1"/>
    </xf>
    <xf numFmtId="0" fontId="3" fillId="0" borderId="49" xfId="0" applyFont="1" applyBorder="1" applyAlignment="1">
      <alignment vertical="center" wrapText="1"/>
    </xf>
    <xf numFmtId="0" fontId="3" fillId="0" borderId="46" xfId="0" applyFont="1" applyBorder="1" applyAlignment="1">
      <alignment vertical="center" wrapText="1"/>
    </xf>
    <xf numFmtId="0" fontId="5" fillId="2" borderId="46" xfId="7" applyFont="1" applyFill="1" applyBorder="1" applyAlignment="1">
      <alignment horizontal="center" vertical="center" wrapText="1"/>
    </xf>
    <xf numFmtId="0" fontId="3" fillId="0" borderId="42" xfId="0" applyFont="1" applyBorder="1" applyAlignment="1">
      <alignment vertical="center"/>
    </xf>
    <xf numFmtId="0" fontId="3" fillId="0" borderId="40" xfId="7" applyFont="1" applyBorder="1" applyAlignment="1">
      <alignment vertical="center" wrapText="1"/>
    </xf>
    <xf numFmtId="0" fontId="3" fillId="0" borderId="15" xfId="7" applyFont="1" applyBorder="1" applyAlignment="1">
      <alignment vertical="center" wrapText="1"/>
    </xf>
    <xf numFmtId="0" fontId="3" fillId="0" borderId="62" xfId="7" applyFont="1" applyBorder="1" applyAlignment="1">
      <alignment vertical="center" wrapText="1"/>
    </xf>
    <xf numFmtId="0" fontId="5" fillId="2" borderId="2" xfId="7" applyFont="1" applyFill="1" applyBorder="1" applyAlignment="1">
      <alignment horizontal="center" vertical="top" wrapText="1"/>
    </xf>
    <xf numFmtId="2" fontId="43" fillId="0" borderId="70" xfId="0" applyNumberFormat="1" applyFont="1" applyBorder="1" applyAlignment="1">
      <alignment horizontal="right" vertical="top" shrinkToFit="1"/>
    </xf>
    <xf numFmtId="2" fontId="43" fillId="0" borderId="71" xfId="0" applyNumberFormat="1" applyFont="1" applyBorder="1" applyAlignment="1">
      <alignment horizontal="right" vertical="top" shrinkToFit="1"/>
    </xf>
    <xf numFmtId="2" fontId="43" fillId="0" borderId="72" xfId="0" applyNumberFormat="1" applyFont="1" applyBorder="1" applyAlignment="1">
      <alignment horizontal="right" vertical="top" shrinkToFit="1"/>
    </xf>
    <xf numFmtId="2" fontId="5" fillId="0" borderId="2" xfId="0" applyNumberFormat="1" applyFont="1" applyBorder="1" applyAlignment="1">
      <alignment vertical="center"/>
    </xf>
    <xf numFmtId="2" fontId="3" fillId="0" borderId="2" xfId="6" applyNumberFormat="1" applyFont="1" applyBorder="1" applyAlignment="1">
      <alignment vertical="center"/>
    </xf>
    <xf numFmtId="2" fontId="5" fillId="0" borderId="6" xfId="0" applyNumberFormat="1" applyFont="1" applyBorder="1" applyAlignment="1">
      <alignment vertical="center"/>
    </xf>
    <xf numFmtId="0" fontId="5" fillId="2" borderId="7" xfId="7" applyFont="1" applyFill="1" applyBorder="1" applyAlignment="1">
      <alignment horizontal="center" vertical="top" wrapText="1"/>
    </xf>
    <xf numFmtId="2" fontId="43" fillId="0" borderId="73" xfId="0" applyNumberFormat="1" applyFont="1" applyBorder="1" applyAlignment="1">
      <alignment horizontal="right" vertical="top" shrinkToFit="1"/>
    </xf>
    <xf numFmtId="165" fontId="43" fillId="0" borderId="74" xfId="0" applyNumberFormat="1" applyFont="1" applyBorder="1" applyAlignment="1">
      <alignment horizontal="right" vertical="top" shrinkToFit="1"/>
    </xf>
    <xf numFmtId="2" fontId="43" fillId="0" borderId="74" xfId="0" applyNumberFormat="1" applyFont="1" applyBorder="1" applyAlignment="1">
      <alignment horizontal="right" vertical="top" shrinkToFit="1"/>
    </xf>
    <xf numFmtId="2" fontId="43" fillId="0" borderId="75" xfId="0" applyNumberFormat="1" applyFont="1" applyBorder="1" applyAlignment="1">
      <alignment horizontal="right" vertical="top" shrinkToFit="1"/>
    </xf>
    <xf numFmtId="2" fontId="43" fillId="0" borderId="76" xfId="0" applyNumberFormat="1" applyFont="1" applyBorder="1" applyAlignment="1">
      <alignment horizontal="right" vertical="top" shrinkToFit="1"/>
    </xf>
    <xf numFmtId="167" fontId="43" fillId="0" borderId="74" xfId="0" applyNumberFormat="1" applyFont="1" applyBorder="1" applyAlignment="1">
      <alignment horizontal="right" vertical="top" shrinkToFit="1"/>
    </xf>
    <xf numFmtId="0" fontId="0" fillId="0" borderId="24" xfId="0" applyBorder="1" applyAlignment="1">
      <alignment vertical="top"/>
    </xf>
    <xf numFmtId="0" fontId="0" fillId="0" borderId="24" xfId="0" applyBorder="1" applyAlignment="1">
      <alignment vertical="top" wrapText="1"/>
    </xf>
    <xf numFmtId="0" fontId="19" fillId="0" borderId="0" xfId="0" applyFont="1" applyAlignment="1">
      <alignment horizontal="center" vertical="center"/>
    </xf>
    <xf numFmtId="0" fontId="20" fillId="0" borderId="0" xfId="0" applyFont="1" applyAlignment="1">
      <alignment horizontal="justify" vertical="center" wrapText="1"/>
    </xf>
    <xf numFmtId="0" fontId="20" fillId="0" borderId="0" xfId="0" applyFont="1" applyAlignment="1">
      <alignment horizontal="left" vertical="center" wrapText="1"/>
    </xf>
    <xf numFmtId="0" fontId="20" fillId="0" borderId="0" xfId="0" applyFont="1" applyAlignment="1">
      <alignment horizontal="left" vertical="center" wrapText="1" indent="1"/>
    </xf>
    <xf numFmtId="0" fontId="20" fillId="0" borderId="0" xfId="0" applyFont="1" applyAlignment="1">
      <alignment horizontal="center" vertical="center" wrapText="1"/>
    </xf>
    <xf numFmtId="0" fontId="20" fillId="0" borderId="0" xfId="0" applyFont="1" applyAlignment="1">
      <alignment horizontal="justify" vertical="top" wrapText="1"/>
    </xf>
    <xf numFmtId="0" fontId="20" fillId="0" borderId="0" xfId="0" applyFont="1" applyAlignment="1">
      <alignment vertical="center" wrapText="1"/>
    </xf>
    <xf numFmtId="0" fontId="20" fillId="0" borderId="0" xfId="0" applyFont="1" applyAlignment="1">
      <alignment vertical="top" wrapText="1"/>
    </xf>
    <xf numFmtId="0" fontId="5" fillId="2" borderId="7" xfId="7" applyFont="1" applyFill="1" applyBorder="1" applyAlignment="1">
      <alignment horizontal="center" vertical="center" wrapText="1"/>
    </xf>
    <xf numFmtId="0" fontId="0" fillId="2" borderId="1" xfId="0" applyFill="1" applyBorder="1"/>
    <xf numFmtId="0" fontId="0" fillId="2" borderId="1" xfId="0" applyFill="1" applyBorder="1" applyAlignment="1">
      <alignment horizontal="right"/>
    </xf>
    <xf numFmtId="0" fontId="64" fillId="2" borderId="1" xfId="0" applyFont="1" applyFill="1" applyBorder="1" applyAlignment="1">
      <alignment vertical="top" wrapText="1"/>
    </xf>
    <xf numFmtId="0" fontId="64" fillId="2" borderId="1" xfId="0" applyFont="1" applyFill="1" applyBorder="1" applyAlignment="1">
      <alignment horizontal="left" vertical="top" wrapText="1"/>
    </xf>
    <xf numFmtId="0" fontId="64" fillId="2" borderId="36" xfId="0" applyFont="1" applyFill="1" applyBorder="1" applyAlignment="1">
      <alignment horizontal="center" vertical="center"/>
    </xf>
    <xf numFmtId="0" fontId="64" fillId="2" borderId="1" xfId="0" applyFont="1" applyFill="1" applyBorder="1" applyAlignment="1">
      <alignment horizontal="center" vertical="center"/>
    </xf>
    <xf numFmtId="0" fontId="64" fillId="2" borderId="24" xfId="0" applyFont="1" applyFill="1" applyBorder="1" applyAlignment="1">
      <alignment horizontal="center" vertical="center"/>
    </xf>
    <xf numFmtId="1" fontId="64" fillId="2" borderId="1" xfId="0" applyNumberFormat="1" applyFont="1" applyFill="1" applyBorder="1" applyAlignment="1">
      <alignment horizontal="center" vertical="center" wrapText="1"/>
    </xf>
    <xf numFmtId="2" fontId="3" fillId="2" borderId="1" xfId="0" applyNumberFormat="1" applyFont="1" applyFill="1" applyBorder="1" applyAlignment="1">
      <alignment vertical="center"/>
    </xf>
    <xf numFmtId="0" fontId="19" fillId="2" borderId="1" xfId="0" applyFont="1" applyFill="1" applyBorder="1" applyAlignment="1">
      <alignment horizontal="center" vertical="center" wrapText="1"/>
    </xf>
    <xf numFmtId="0" fontId="19" fillId="2" borderId="24" xfId="0" applyFont="1" applyFill="1" applyBorder="1" applyAlignment="1">
      <alignment horizontal="center" vertical="center" wrapText="1"/>
    </xf>
    <xf numFmtId="0" fontId="19" fillId="2" borderId="25" xfId="0" applyFont="1" applyFill="1" applyBorder="1" applyAlignment="1">
      <alignment horizontal="center" vertical="center" wrapText="1"/>
    </xf>
    <xf numFmtId="0" fontId="19" fillId="2" borderId="9" xfId="0" applyFont="1" applyFill="1" applyBorder="1" applyAlignment="1">
      <alignment horizontal="center" vertical="center" wrapText="1"/>
    </xf>
    <xf numFmtId="0" fontId="19" fillId="2" borderId="26"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1" xfId="0" applyFont="1" applyFill="1" applyBorder="1" applyAlignment="1">
      <alignment vertical="center" wrapText="1"/>
    </xf>
    <xf numFmtId="3" fontId="3" fillId="2" borderId="2" xfId="0" applyNumberFormat="1" applyFont="1" applyFill="1" applyBorder="1" applyAlignment="1">
      <alignment vertical="center"/>
    </xf>
    <xf numFmtId="169" fontId="3" fillId="2" borderId="1" xfId="0" applyNumberFormat="1" applyFont="1" applyFill="1" applyBorder="1" applyAlignment="1">
      <alignment vertical="center"/>
    </xf>
    <xf numFmtId="0" fontId="3" fillId="2" borderId="24" xfId="0" applyFont="1" applyFill="1" applyBorder="1" applyAlignment="1">
      <alignment vertical="center" wrapText="1"/>
    </xf>
    <xf numFmtId="0" fontId="0" fillId="2" borderId="36" xfId="0" applyFill="1" applyBorder="1" applyAlignment="1">
      <alignment horizontal="center" vertical="top"/>
    </xf>
    <xf numFmtId="0" fontId="0" fillId="2" borderId="1" xfId="25" applyFont="1" applyFill="1" applyBorder="1" applyAlignment="1">
      <alignment horizontal="left" vertical="top" wrapText="1"/>
    </xf>
    <xf numFmtId="0" fontId="0" fillId="2" borderId="2" xfId="0" applyFill="1" applyBorder="1" applyAlignment="1">
      <alignment vertical="top"/>
    </xf>
    <xf numFmtId="2" fontId="0" fillId="2" borderId="1" xfId="0" applyNumberFormat="1" applyFill="1" applyBorder="1" applyAlignment="1">
      <alignment horizontal="right" vertical="top"/>
    </xf>
    <xf numFmtId="1" fontId="0" fillId="2" borderId="1" xfId="0" applyNumberFormat="1" applyFill="1" applyBorder="1" applyAlignment="1">
      <alignment vertical="top"/>
    </xf>
    <xf numFmtId="0" fontId="0" fillId="2" borderId="24" xfId="0" applyFill="1" applyBorder="1" applyAlignment="1">
      <alignment vertical="top"/>
    </xf>
    <xf numFmtId="0" fontId="3" fillId="2" borderId="36" xfId="0" applyFont="1" applyFill="1" applyBorder="1" applyAlignment="1">
      <alignment horizontal="center" vertical="center"/>
    </xf>
    <xf numFmtId="2" fontId="3" fillId="2" borderId="24" xfId="0" applyNumberFormat="1" applyFont="1" applyFill="1" applyBorder="1" applyAlignment="1">
      <alignment vertical="center"/>
    </xf>
    <xf numFmtId="0" fontId="5" fillId="2" borderId="58" xfId="7" applyFont="1" applyFill="1" applyBorder="1" applyAlignment="1">
      <alignment horizontal="center" vertical="top" wrapText="1"/>
    </xf>
    <xf numFmtId="0" fontId="5" fillId="2" borderId="3" xfId="7" applyFont="1" applyFill="1" applyBorder="1" applyAlignment="1">
      <alignment horizontal="center" vertical="top" wrapText="1"/>
    </xf>
    <xf numFmtId="0" fontId="5" fillId="2" borderId="15" xfId="7" applyFont="1" applyFill="1" applyBorder="1" applyAlignment="1">
      <alignment horizontal="center" vertical="top" wrapText="1"/>
    </xf>
    <xf numFmtId="0" fontId="3" fillId="2" borderId="36" xfId="7" applyFont="1" applyFill="1" applyBorder="1" applyAlignment="1">
      <alignment horizontal="center" vertical="center"/>
    </xf>
    <xf numFmtId="0" fontId="3" fillId="2" borderId="7" xfId="7" applyFont="1" applyFill="1" applyBorder="1" applyAlignment="1">
      <alignment vertical="center" wrapText="1"/>
    </xf>
    <xf numFmtId="2" fontId="43" fillId="2" borderId="57" xfId="0" applyNumberFormat="1" applyFont="1" applyFill="1" applyBorder="1" applyAlignment="1">
      <alignment horizontal="right" vertical="top" shrinkToFit="1"/>
    </xf>
    <xf numFmtId="2" fontId="43" fillId="2" borderId="17" xfId="0" applyNumberFormat="1" applyFont="1" applyFill="1" applyBorder="1" applyAlignment="1">
      <alignment horizontal="right" vertical="top" shrinkToFit="1"/>
    </xf>
    <xf numFmtId="2" fontId="43" fillId="2" borderId="74" xfId="0" applyNumberFormat="1" applyFont="1" applyFill="1" applyBorder="1" applyAlignment="1">
      <alignment horizontal="right" vertical="top" shrinkToFit="1"/>
    </xf>
    <xf numFmtId="0" fontId="3" fillId="2" borderId="24" xfId="0" applyFont="1" applyFill="1" applyBorder="1" applyAlignment="1">
      <alignment vertical="center"/>
    </xf>
    <xf numFmtId="0" fontId="8" fillId="0" borderId="22" xfId="50" applyFont="1" applyBorder="1" applyAlignment="1">
      <alignment horizontal="center" vertical="center" wrapText="1"/>
    </xf>
    <xf numFmtId="0" fontId="8" fillId="0" borderId="0" xfId="50" applyFont="1" applyAlignment="1">
      <alignment horizontal="center" vertical="center" wrapText="1"/>
    </xf>
    <xf numFmtId="0" fontId="8" fillId="0" borderId="23" xfId="50" applyFont="1" applyBorder="1" applyAlignment="1">
      <alignment horizontal="center" vertical="center" wrapText="1"/>
    </xf>
    <xf numFmtId="0" fontId="3" fillId="0" borderId="0" xfId="90" applyFont="1" applyAlignment="1">
      <alignment horizontal="left" vertical="top" wrapText="1"/>
    </xf>
    <xf numFmtId="0" fontId="3" fillId="0" borderId="6" xfId="4" applyFont="1" applyBorder="1" applyAlignment="1">
      <alignment horizontal="center" vertical="center"/>
    </xf>
    <xf numFmtId="0" fontId="5" fillId="2" borderId="1" xfId="84" applyFont="1" applyFill="1" applyBorder="1" applyAlignment="1">
      <alignment horizontal="center" vertical="top" wrapText="1"/>
    </xf>
    <xf numFmtId="0" fontId="5" fillId="2" borderId="1" xfId="56" applyFont="1" applyFill="1" applyBorder="1" applyAlignment="1">
      <alignment horizontal="center" vertical="top" wrapText="1"/>
    </xf>
    <xf numFmtId="0" fontId="5" fillId="2" borderId="1" xfId="56" applyFont="1" applyFill="1" applyBorder="1" applyAlignment="1">
      <alignment horizontal="center" vertical="center" wrapText="1"/>
    </xf>
    <xf numFmtId="0" fontId="8" fillId="0" borderId="22" xfId="90" applyFont="1" applyBorder="1" applyAlignment="1">
      <alignment horizontal="center" vertical="top" wrapText="1"/>
    </xf>
    <xf numFmtId="0" fontId="8" fillId="0" borderId="0" xfId="90" applyFont="1" applyAlignment="1">
      <alignment horizontal="center" vertical="top" wrapText="1"/>
    </xf>
    <xf numFmtId="0" fontId="2" fillId="0" borderId="22" xfId="0" applyFont="1" applyBorder="1" applyAlignment="1">
      <alignment horizontal="center"/>
    </xf>
    <xf numFmtId="0" fontId="2" fillId="0" borderId="0" xfId="0" applyFont="1" applyAlignment="1">
      <alignment horizontal="center"/>
    </xf>
    <xf numFmtId="0" fontId="2" fillId="0" borderId="23" xfId="0" applyFont="1" applyBorder="1" applyAlignment="1">
      <alignment horizontal="center"/>
    </xf>
    <xf numFmtId="0" fontId="3" fillId="0" borderId="45" xfId="0" applyFont="1" applyBorder="1" applyAlignment="1">
      <alignment horizontal="center" vertical="top"/>
    </xf>
    <xf numFmtId="0" fontId="5" fillId="2" borderId="36" xfId="0" applyFont="1" applyFill="1" applyBorder="1" applyAlignment="1">
      <alignment horizontal="center" vertical="top" wrapText="1"/>
    </xf>
    <xf numFmtId="0" fontId="5" fillId="2" borderId="24" xfId="0" applyFont="1" applyFill="1" applyBorder="1" applyAlignment="1">
      <alignment horizontal="center" vertical="top" wrapText="1"/>
    </xf>
    <xf numFmtId="0" fontId="5" fillId="2" borderId="2" xfId="0" applyFont="1" applyFill="1" applyBorder="1" applyAlignment="1">
      <alignment horizontal="center" vertical="top" wrapText="1"/>
    </xf>
    <xf numFmtId="0" fontId="5" fillId="0" borderId="4" xfId="5" applyFont="1" applyBorder="1" applyAlignment="1">
      <alignment horizontal="left" vertical="center"/>
    </xf>
    <xf numFmtId="0" fontId="5" fillId="0" borderId="1" xfId="5" applyFont="1" applyBorder="1" applyAlignment="1">
      <alignment horizontal="left" vertical="center"/>
    </xf>
    <xf numFmtId="0" fontId="5" fillId="2" borderId="7" xfId="5" applyFont="1" applyFill="1" applyBorder="1" applyAlignment="1">
      <alignment horizontal="center" vertical="center" wrapText="1"/>
    </xf>
    <xf numFmtId="0" fontId="64" fillId="2" borderId="1" xfId="0" applyFont="1" applyFill="1" applyBorder="1" applyAlignment="1">
      <alignment horizontal="center" vertical="top" wrapText="1"/>
    </xf>
    <xf numFmtId="0" fontId="64" fillId="2" borderId="1" xfId="0" applyFont="1" applyFill="1" applyBorder="1" applyAlignment="1">
      <alignment horizontal="center" vertical="center" wrapText="1"/>
    </xf>
    <xf numFmtId="0" fontId="3" fillId="2" borderId="1" xfId="0" applyFont="1" applyFill="1" applyBorder="1" applyAlignment="1">
      <alignment horizontal="center" vertical="center"/>
    </xf>
    <xf numFmtId="0" fontId="3" fillId="2" borderId="2" xfId="0" applyFont="1" applyFill="1" applyBorder="1" applyAlignment="1">
      <alignment horizontal="center" vertical="center"/>
    </xf>
    <xf numFmtId="0" fontId="3" fillId="0" borderId="6" xfId="0" applyFont="1" applyBorder="1" applyAlignment="1">
      <alignment vertical="top" wrapText="1"/>
    </xf>
    <xf numFmtId="0" fontId="3" fillId="0" borderId="6" xfId="0" quotePrefix="1" applyFont="1" applyBorder="1"/>
    <xf numFmtId="170" fontId="3" fillId="0" borderId="6" xfId="0" applyNumberFormat="1" applyFont="1" applyBorder="1" applyAlignment="1">
      <alignment horizontal="right" vertical="center"/>
    </xf>
    <xf numFmtId="0" fontId="3" fillId="0" borderId="46" xfId="0" applyFont="1" applyBorder="1" applyAlignment="1">
      <alignment vertical="top" wrapText="1"/>
    </xf>
    <xf numFmtId="0" fontId="3" fillId="0" borderId="47" xfId="0" applyFont="1" applyBorder="1" applyAlignment="1">
      <alignment horizontal="center" vertical="top"/>
    </xf>
    <xf numFmtId="0" fontId="3" fillId="0" borderId="48" xfId="0" applyFont="1" applyBorder="1" applyAlignment="1">
      <alignment vertical="top" wrapText="1"/>
    </xf>
    <xf numFmtId="0" fontId="3" fillId="0" borderId="48" xfId="0" quotePrefix="1" applyFont="1" applyBorder="1"/>
    <xf numFmtId="170" fontId="3" fillId="0" borderId="48" xfId="0" applyNumberFormat="1" applyFont="1" applyBorder="1" applyAlignment="1">
      <alignment horizontal="right" vertical="center"/>
    </xf>
    <xf numFmtId="0" fontId="3" fillId="0" borderId="49" xfId="0" applyFont="1" applyBorder="1" applyAlignment="1">
      <alignment vertical="top" wrapText="1"/>
    </xf>
    <xf numFmtId="0" fontId="8" fillId="0" borderId="56" xfId="90" applyFont="1" applyBorder="1" applyAlignment="1">
      <alignment horizontal="center" vertical="top" wrapText="1"/>
    </xf>
    <xf numFmtId="2" fontId="3" fillId="2" borderId="1" xfId="5" applyNumberFormat="1" applyFont="1" applyFill="1" applyBorder="1" applyAlignment="1">
      <alignment horizontal="right" vertical="center"/>
    </xf>
    <xf numFmtId="2" fontId="51" fillId="2" borderId="1" xfId="0" applyNumberFormat="1" applyFont="1" applyFill="1" applyBorder="1"/>
    <xf numFmtId="3" fontId="56" fillId="0" borderId="18" xfId="0" applyNumberFormat="1" applyFont="1" applyBorder="1" applyAlignment="1">
      <alignment horizontal="right" vertical="top" shrinkToFit="1"/>
    </xf>
    <xf numFmtId="1" fontId="56" fillId="0" borderId="18" xfId="0" applyNumberFormat="1" applyFont="1" applyBorder="1" applyAlignment="1">
      <alignment horizontal="right" vertical="top" shrinkToFit="1"/>
    </xf>
    <xf numFmtId="166" fontId="56" fillId="0" borderId="18" xfId="0" applyNumberFormat="1" applyFont="1" applyBorder="1" applyAlignment="1">
      <alignment horizontal="right" vertical="top" shrinkToFit="1"/>
    </xf>
    <xf numFmtId="3" fontId="56" fillId="0" borderId="77" xfId="0" applyNumberFormat="1" applyFont="1" applyBorder="1" applyAlignment="1">
      <alignment horizontal="right" vertical="top" shrinkToFit="1"/>
    </xf>
    <xf numFmtId="1" fontId="56" fillId="0" borderId="77" xfId="0" applyNumberFormat="1" applyFont="1" applyBorder="1" applyAlignment="1">
      <alignment horizontal="right" vertical="top" shrinkToFit="1"/>
    </xf>
    <xf numFmtId="166" fontId="56" fillId="0" borderId="77" xfId="0" applyNumberFormat="1" applyFont="1" applyBorder="1" applyAlignment="1">
      <alignment horizontal="right" vertical="top" shrinkToFit="1"/>
    </xf>
    <xf numFmtId="0" fontId="3" fillId="0" borderId="78" xfId="0" applyFont="1" applyBorder="1" applyAlignment="1">
      <alignment vertical="center"/>
    </xf>
    <xf numFmtId="0" fontId="5" fillId="0" borderId="45" xfId="82" applyFont="1" applyBorder="1" applyAlignment="1">
      <alignment horizontal="center" vertical="center"/>
    </xf>
    <xf numFmtId="0" fontId="3" fillId="0" borderId="6" xfId="82" applyFont="1" applyBorder="1" applyAlignment="1">
      <alignment horizontal="left" vertical="center" indent="2"/>
    </xf>
    <xf numFmtId="1" fontId="3" fillId="0" borderId="6" xfId="82" applyNumberFormat="1" applyFont="1" applyBorder="1" applyAlignment="1">
      <alignment horizontal="right" vertical="center"/>
    </xf>
    <xf numFmtId="0" fontId="3" fillId="0" borderId="46" xfId="82" applyFont="1" applyBorder="1" applyAlignment="1">
      <alignment horizontal="left" vertical="center"/>
    </xf>
    <xf numFmtId="0" fontId="5" fillId="0" borderId="47" xfId="82" applyFont="1" applyBorder="1" applyAlignment="1">
      <alignment horizontal="center" vertical="center"/>
    </xf>
    <xf numFmtId="0" fontId="3" fillId="0" borderId="48" xfId="82" applyFont="1" applyBorder="1" applyAlignment="1">
      <alignment horizontal="left" vertical="center" indent="2"/>
    </xf>
    <xf numFmtId="1" fontId="3" fillId="0" borderId="48" xfId="82" applyNumberFormat="1" applyFont="1" applyBorder="1" applyAlignment="1">
      <alignment horizontal="right" vertical="center"/>
    </xf>
    <xf numFmtId="0" fontId="3" fillId="0" borderId="49" xfId="82" applyFont="1" applyBorder="1" applyAlignment="1">
      <alignment horizontal="left" vertical="center"/>
    </xf>
    <xf numFmtId="0" fontId="3" fillId="0" borderId="6" xfId="0" applyFont="1" applyBorder="1" applyAlignment="1">
      <alignment vertical="top"/>
    </xf>
    <xf numFmtId="0" fontId="3" fillId="0" borderId="6" xfId="0" applyFont="1" applyBorder="1"/>
    <xf numFmtId="2" fontId="92" fillId="0" borderId="18" xfId="0" applyNumberFormat="1" applyFont="1" applyBorder="1" applyAlignment="1">
      <alignment horizontal="right" vertical="top" shrinkToFit="1"/>
    </xf>
    <xf numFmtId="166" fontId="92" fillId="0" borderId="18" xfId="0" applyNumberFormat="1" applyFont="1" applyBorder="1" applyAlignment="1">
      <alignment horizontal="right" vertical="top" shrinkToFit="1"/>
    </xf>
    <xf numFmtId="0" fontId="3" fillId="0" borderId="46" xfId="0" applyFont="1" applyBorder="1" applyAlignment="1">
      <alignment horizontal="left" vertical="top" indent="1"/>
    </xf>
    <xf numFmtId="0" fontId="3" fillId="0" borderId="48" xfId="0" applyFont="1" applyBorder="1"/>
    <xf numFmtId="3" fontId="92" fillId="0" borderId="77" xfId="0" applyNumberFormat="1" applyFont="1" applyBorder="1" applyAlignment="1">
      <alignment horizontal="right" vertical="top" shrinkToFit="1"/>
    </xf>
    <xf numFmtId="0" fontId="3" fillId="0" borderId="49" xfId="0" applyFont="1" applyBorder="1" applyAlignment="1">
      <alignment horizontal="left" vertical="top" wrapText="1" indent="1"/>
    </xf>
    <xf numFmtId="0" fontId="7" fillId="0" borderId="45" xfId="90" applyFont="1" applyBorder="1" applyAlignment="1">
      <alignment vertical="top" wrapText="1"/>
    </xf>
    <xf numFmtId="0" fontId="7" fillId="0" borderId="6" xfId="90" applyFont="1" applyBorder="1" applyAlignment="1">
      <alignment vertical="center" wrapText="1"/>
    </xf>
    <xf numFmtId="41" fontId="7" fillId="0" borderId="6" xfId="0" applyNumberFormat="1" applyFont="1" applyBorder="1" applyAlignment="1">
      <alignment horizontal="right" vertical="center"/>
    </xf>
    <xf numFmtId="0" fontId="7" fillId="0" borderId="47" xfId="90" applyFont="1" applyBorder="1" applyAlignment="1">
      <alignment vertical="top" wrapText="1"/>
    </xf>
    <xf numFmtId="0" fontId="7" fillId="0" borderId="48" xfId="90" applyFont="1" applyBorder="1" applyAlignment="1">
      <alignment vertical="center" wrapText="1"/>
    </xf>
    <xf numFmtId="41" fontId="7" fillId="0" borderId="48" xfId="0" applyNumberFormat="1" applyFont="1" applyBorder="1" applyAlignment="1">
      <alignment horizontal="right" vertical="center"/>
    </xf>
    <xf numFmtId="0" fontId="7" fillId="0" borderId="49" xfId="90" applyFont="1" applyBorder="1" applyAlignment="1">
      <alignment vertical="top" wrapText="1"/>
    </xf>
    <xf numFmtId="0" fontId="7" fillId="0" borderId="65" xfId="90" applyFont="1" applyBorder="1" applyAlignment="1">
      <alignment vertical="top" wrapText="1"/>
    </xf>
    <xf numFmtId="0" fontId="7" fillId="0" borderId="41" xfId="90" applyFont="1" applyBorder="1" applyAlignment="1">
      <alignment vertical="top" wrapText="1"/>
    </xf>
    <xf numFmtId="0" fontId="7" fillId="0" borderId="3" xfId="90" applyFont="1" applyBorder="1" applyAlignment="1">
      <alignment vertical="center" wrapText="1"/>
    </xf>
    <xf numFmtId="41" fontId="7" fillId="0" borderId="3" xfId="0" applyNumberFormat="1" applyFont="1" applyBorder="1" applyAlignment="1">
      <alignment horizontal="right" vertical="center"/>
    </xf>
    <xf numFmtId="0" fontId="0" fillId="2" borderId="6" xfId="0" applyFill="1" applyBorder="1"/>
    <xf numFmtId="0" fontId="0" fillId="2" borderId="6" xfId="0" applyFill="1" applyBorder="1" applyAlignment="1">
      <alignment horizontal="right"/>
    </xf>
    <xf numFmtId="0" fontId="0" fillId="0" borderId="48" xfId="0" applyBorder="1"/>
    <xf numFmtId="0" fontId="0" fillId="0" borderId="48" xfId="0" applyBorder="1" applyAlignment="1">
      <alignment horizontal="right"/>
    </xf>
    <xf numFmtId="0" fontId="5" fillId="0" borderId="48" xfId="4" applyFont="1" applyBorder="1" applyAlignment="1">
      <alignment horizontal="center" vertical="center"/>
    </xf>
    <xf numFmtId="41" fontId="2" fillId="0" borderId="48" xfId="4" applyNumberFormat="1" applyFont="1" applyBorder="1" applyAlignment="1">
      <alignment horizontal="right" vertical="center"/>
    </xf>
    <xf numFmtId="0" fontId="3" fillId="0" borderId="6" xfId="0" applyFont="1" applyBorder="1" applyAlignment="1">
      <alignment horizontal="center" vertical="center"/>
    </xf>
    <xf numFmtId="0" fontId="3" fillId="0" borderId="56" xfId="0" applyFont="1" applyBorder="1" applyAlignment="1">
      <alignment vertical="center"/>
    </xf>
    <xf numFmtId="2" fontId="3" fillId="0" borderId="6" xfId="0" applyNumberFormat="1" applyFont="1" applyBorder="1" applyAlignment="1">
      <alignment vertical="center"/>
    </xf>
    <xf numFmtId="170" fontId="3" fillId="0" borderId="6" xfId="0" applyNumberFormat="1" applyFont="1" applyBorder="1" applyAlignment="1">
      <alignment vertical="center"/>
    </xf>
    <xf numFmtId="170" fontId="48" fillId="0" borderId="6" xfId="0" applyNumberFormat="1" applyFont="1" applyBorder="1" applyAlignment="1">
      <alignment vertical="center"/>
    </xf>
    <xf numFmtId="0" fontId="5" fillId="0" borderId="48" xfId="0" applyFont="1" applyBorder="1" applyAlignment="1">
      <alignment horizontal="center" vertical="center"/>
    </xf>
    <xf numFmtId="0" fontId="5" fillId="0" borderId="55" xfId="0" applyFont="1" applyBorder="1" applyAlignment="1">
      <alignment vertical="center"/>
    </xf>
    <xf numFmtId="0" fontId="5" fillId="0" borderId="48" xfId="0" applyFont="1" applyBorder="1" applyAlignment="1">
      <alignment vertical="center"/>
    </xf>
    <xf numFmtId="2" fontId="5" fillId="0" borderId="48" xfId="0" applyNumberFormat="1" applyFont="1" applyBorder="1" applyAlignment="1">
      <alignment vertical="center"/>
    </xf>
    <xf numFmtId="43" fontId="5" fillId="0" borderId="48" xfId="0" applyNumberFormat="1" applyFont="1" applyBorder="1" applyAlignment="1">
      <alignment vertical="center"/>
    </xf>
    <xf numFmtId="170" fontId="5" fillId="0" borderId="48" xfId="0" applyNumberFormat="1" applyFont="1" applyBorder="1" applyAlignment="1">
      <alignment vertical="center"/>
    </xf>
    <xf numFmtId="0" fontId="5" fillId="0" borderId="49" xfId="0" applyFont="1" applyBorder="1" applyAlignment="1">
      <alignment vertical="center"/>
    </xf>
    <xf numFmtId="0" fontId="3" fillId="0" borderId="45" xfId="47" applyFont="1" applyBorder="1" applyAlignment="1">
      <alignment horizontal="center" vertical="center" wrapText="1"/>
    </xf>
    <xf numFmtId="0" fontId="3" fillId="0" borderId="6" xfId="47" applyFont="1" applyBorder="1" applyAlignment="1">
      <alignment horizontal="left" vertical="center" wrapText="1"/>
    </xf>
    <xf numFmtId="41" fontId="3" fillId="0" borderId="6" xfId="47" applyNumberFormat="1" applyFont="1" applyBorder="1" applyAlignment="1">
      <alignment vertical="center" wrapText="1"/>
    </xf>
    <xf numFmtId="41" fontId="3" fillId="0" borderId="6" xfId="47" applyNumberFormat="1" applyFont="1" applyBorder="1" applyAlignment="1">
      <alignment horizontal="right" vertical="center" wrapText="1"/>
    </xf>
    <xf numFmtId="41" fontId="3" fillId="0" borderId="46" xfId="47" applyNumberFormat="1" applyFont="1" applyBorder="1" applyAlignment="1">
      <alignment vertical="center" wrapText="1"/>
    </xf>
    <xf numFmtId="0" fontId="3" fillId="0" borderId="47" xfId="47" applyFont="1" applyBorder="1" applyAlignment="1">
      <alignment horizontal="center" vertical="center" wrapText="1"/>
    </xf>
    <xf numFmtId="0" fontId="3" fillId="0" borderId="48" xfId="47" applyFont="1" applyBorder="1" applyAlignment="1">
      <alignment horizontal="left" vertical="center" wrapText="1"/>
    </xf>
    <xf numFmtId="41" fontId="3" fillId="0" borderId="48" xfId="47" applyNumberFormat="1" applyFont="1" applyBorder="1" applyAlignment="1">
      <alignment vertical="center" wrapText="1"/>
    </xf>
    <xf numFmtId="41" fontId="3" fillId="0" borderId="48" xfId="47" applyNumberFormat="1" applyFont="1" applyBorder="1" applyAlignment="1">
      <alignment horizontal="right" vertical="center" wrapText="1"/>
    </xf>
    <xf numFmtId="41" fontId="3" fillId="0" borderId="49" xfId="47" applyNumberFormat="1" applyFont="1" applyBorder="1" applyAlignment="1">
      <alignment vertical="center" wrapText="1"/>
    </xf>
    <xf numFmtId="41" fontId="3" fillId="0" borderId="6" xfId="0" applyNumberFormat="1" applyFont="1" applyBorder="1" applyAlignment="1">
      <alignment vertical="center"/>
    </xf>
    <xf numFmtId="3" fontId="3" fillId="0" borderId="46" xfId="0" applyNumberFormat="1" applyFont="1" applyBorder="1" applyAlignment="1">
      <alignment vertical="center"/>
    </xf>
    <xf numFmtId="41" fontId="3" fillId="0" borderId="48" xfId="0" applyNumberFormat="1" applyFont="1" applyBorder="1" applyAlignment="1">
      <alignment vertical="center"/>
    </xf>
    <xf numFmtId="3" fontId="3" fillId="0" borderId="49" xfId="0" applyNumberFormat="1" applyFont="1" applyBorder="1" applyAlignment="1">
      <alignment vertical="center"/>
    </xf>
    <xf numFmtId="0" fontId="3" fillId="0" borderId="45" xfId="85" applyFont="1" applyBorder="1" applyAlignment="1">
      <alignment horizontal="center" vertical="center" wrapText="1"/>
    </xf>
    <xf numFmtId="0" fontId="3" fillId="0" borderId="6" xfId="85" applyFont="1" applyBorder="1" applyAlignment="1">
      <alignment vertical="center"/>
    </xf>
    <xf numFmtId="41" fontId="3" fillId="0" borderId="6" xfId="85" applyNumberFormat="1" applyFont="1" applyBorder="1" applyAlignment="1">
      <alignment horizontal="right" vertical="center"/>
    </xf>
    <xf numFmtId="41" fontId="3" fillId="0" borderId="6" xfId="5" applyNumberFormat="1" applyFont="1" applyBorder="1" applyAlignment="1">
      <alignment horizontal="right" vertical="center"/>
    </xf>
    <xf numFmtId="41" fontId="3" fillId="0" borderId="6" xfId="85" applyNumberFormat="1" applyFont="1" applyBorder="1" applyAlignment="1">
      <alignment vertical="center" wrapText="1"/>
    </xf>
    <xf numFmtId="0" fontId="3" fillId="0" borderId="46" xfId="85" applyFont="1" applyBorder="1" applyAlignment="1">
      <alignment vertical="center"/>
    </xf>
    <xf numFmtId="0" fontId="3" fillId="0" borderId="47" xfId="85" applyFont="1" applyBorder="1" applyAlignment="1">
      <alignment horizontal="center" vertical="center" wrapText="1"/>
    </xf>
    <xf numFmtId="0" fontId="3" fillId="0" borderId="48" xfId="85" applyFont="1" applyBorder="1" applyAlignment="1">
      <alignment vertical="center"/>
    </xf>
    <xf numFmtId="41" fontId="3" fillId="0" borderId="48" xfId="85" applyNumberFormat="1" applyFont="1" applyBorder="1" applyAlignment="1">
      <alignment horizontal="right" vertical="center"/>
    </xf>
    <xf numFmtId="41" fontId="3" fillId="0" borderId="48" xfId="5" applyNumberFormat="1" applyFont="1" applyBorder="1" applyAlignment="1">
      <alignment horizontal="right" vertical="center"/>
    </xf>
    <xf numFmtId="41" fontId="3" fillId="0" borderId="48" xfId="85" applyNumberFormat="1" applyFont="1" applyBorder="1" applyAlignment="1">
      <alignment vertical="center" wrapText="1"/>
    </xf>
    <xf numFmtId="0" fontId="3" fillId="0" borderId="49" xfId="85" applyFont="1" applyBorder="1" applyAlignment="1">
      <alignment vertical="center"/>
    </xf>
    <xf numFmtId="0" fontId="3" fillId="0" borderId="20" xfId="56" applyFont="1" applyBorder="1" applyAlignment="1">
      <alignment vertical="center"/>
    </xf>
    <xf numFmtId="0" fontId="3" fillId="2" borderId="5" xfId="56" applyFont="1" applyFill="1" applyBorder="1" applyAlignment="1">
      <alignment horizontal="center" vertical="center"/>
    </xf>
    <xf numFmtId="0" fontId="3" fillId="2" borderId="4" xfId="56" applyFont="1" applyFill="1" applyBorder="1" applyAlignment="1">
      <alignment horizontal="center" vertical="center"/>
    </xf>
    <xf numFmtId="0" fontId="3" fillId="0" borderId="4" xfId="56" applyFont="1" applyBorder="1"/>
    <xf numFmtId="3" fontId="3" fillId="0" borderId="6" xfId="0" applyNumberFormat="1" applyFont="1" applyBorder="1" applyAlignment="1">
      <alignment horizontal="right" vertical="center"/>
    </xf>
    <xf numFmtId="0" fontId="76" fillId="0" borderId="6" xfId="93" applyFont="1" applyBorder="1" applyAlignment="1">
      <alignment horizontal="right"/>
    </xf>
    <xf numFmtId="0" fontId="9" fillId="0" borderId="6" xfId="0" applyFont="1" applyBorder="1" applyAlignment="1">
      <alignment horizontal="right" wrapText="1"/>
    </xf>
    <xf numFmtId="0" fontId="3" fillId="0" borderId="55" xfId="0" applyFont="1" applyBorder="1" applyAlignment="1">
      <alignment vertical="center"/>
    </xf>
    <xf numFmtId="3" fontId="3" fillId="0" borderId="48" xfId="0" applyNumberFormat="1" applyFont="1" applyBorder="1" applyAlignment="1">
      <alignment horizontal="right" vertical="center"/>
    </xf>
    <xf numFmtId="0" fontId="25" fillId="0" borderId="48" xfId="0" applyFont="1" applyBorder="1" applyAlignment="1">
      <alignment horizontal="right"/>
    </xf>
    <xf numFmtId="0" fontId="9" fillId="0" borderId="48" xfId="0" applyFont="1" applyBorder="1" applyAlignment="1">
      <alignment horizontal="right" wrapText="1"/>
    </xf>
    <xf numFmtId="0" fontId="3" fillId="0" borderId="79" xfId="0" applyFont="1" applyBorder="1" applyAlignment="1">
      <alignment horizontal="center" vertical="center"/>
    </xf>
    <xf numFmtId="2" fontId="3" fillId="0" borderId="64" xfId="0" applyNumberFormat="1" applyFont="1" applyBorder="1" applyAlignment="1">
      <alignment horizontal="right" vertical="center"/>
    </xf>
    <xf numFmtId="0" fontId="3" fillId="0" borderId="65" xfId="0" applyFont="1" applyBorder="1" applyAlignment="1">
      <alignment vertical="center"/>
    </xf>
    <xf numFmtId="0" fontId="3" fillId="0" borderId="6" xfId="0" applyFont="1" applyBorder="1" applyAlignment="1">
      <alignment vertical="center" wrapText="1"/>
    </xf>
    <xf numFmtId="0" fontId="3" fillId="0" borderId="48" xfId="0" applyFont="1" applyBorder="1" applyAlignment="1">
      <alignment vertical="center" wrapText="1"/>
    </xf>
    <xf numFmtId="0" fontId="3" fillId="0" borderId="80" xfId="0" applyFont="1" applyBorder="1" applyAlignment="1">
      <alignment vertical="center" wrapText="1"/>
    </xf>
    <xf numFmtId="2" fontId="3" fillId="0" borderId="46" xfId="0" applyNumberFormat="1" applyFont="1" applyBorder="1" applyAlignment="1">
      <alignment vertical="center"/>
    </xf>
    <xf numFmtId="2" fontId="3" fillId="0" borderId="48" xfId="0" applyNumberFormat="1" applyFont="1" applyBorder="1" applyAlignment="1">
      <alignment vertical="center"/>
    </xf>
    <xf numFmtId="2" fontId="3" fillId="0" borderId="49" xfId="0" applyNumberFormat="1" applyFont="1" applyBorder="1" applyAlignment="1">
      <alignment vertical="center"/>
    </xf>
    <xf numFmtId="0" fontId="2" fillId="0" borderId="56" xfId="0" applyFont="1" applyBorder="1" applyAlignment="1">
      <alignment vertical="top"/>
    </xf>
    <xf numFmtId="0" fontId="2" fillId="0" borderId="6" xfId="0" applyFont="1" applyBorder="1" applyAlignment="1">
      <alignment horizontal="right" vertical="top"/>
    </xf>
    <xf numFmtId="1" fontId="2" fillId="0" borderId="6" xfId="0" applyNumberFormat="1" applyFont="1" applyBorder="1" applyAlignment="1">
      <alignment vertical="top"/>
    </xf>
    <xf numFmtId="0" fontId="2" fillId="0" borderId="46" xfId="0" applyFont="1" applyBorder="1" applyAlignment="1">
      <alignment horizontal="left" vertical="top"/>
    </xf>
    <xf numFmtId="0" fontId="2" fillId="0" borderId="55" xfId="0" applyFont="1" applyBorder="1" applyAlignment="1">
      <alignment vertical="top"/>
    </xf>
    <xf numFmtId="2" fontId="2" fillId="0" borderId="48" xfId="0" applyNumberFormat="1" applyFont="1" applyBorder="1" applyAlignment="1">
      <alignment vertical="top"/>
    </xf>
    <xf numFmtId="2" fontId="2" fillId="0" borderId="48" xfId="0" applyNumberFormat="1" applyFont="1" applyBorder="1" applyAlignment="1">
      <alignment horizontal="right" vertical="top"/>
    </xf>
    <xf numFmtId="1" fontId="2" fillId="0" borderId="48" xfId="0" applyNumberFormat="1" applyFont="1" applyBorder="1" applyAlignment="1">
      <alignment vertical="top"/>
    </xf>
    <xf numFmtId="0" fontId="2" fillId="0" borderId="49" xfId="0" applyFont="1" applyBorder="1" applyAlignment="1">
      <alignment horizontal="left" vertical="top"/>
    </xf>
    <xf numFmtId="0" fontId="45" fillId="0" borderId="0" xfId="56" applyFont="1" applyAlignment="1">
      <alignment vertical="center"/>
    </xf>
    <xf numFmtId="0" fontId="45" fillId="0" borderId="0" xfId="56" applyFont="1" applyAlignment="1">
      <alignment horizontal="center" vertical="center" wrapText="1"/>
    </xf>
    <xf numFmtId="0" fontId="45" fillId="0" borderId="0" xfId="56" applyFont="1"/>
    <xf numFmtId="0" fontId="0" fillId="0" borderId="6" xfId="0" applyBorder="1"/>
    <xf numFmtId="0" fontId="0" fillId="0" borderId="6" xfId="0" applyBorder="1" applyAlignment="1">
      <alignment horizontal="right"/>
    </xf>
    <xf numFmtId="0" fontId="65" fillId="5" borderId="1" xfId="0" applyFont="1" applyFill="1" applyBorder="1" applyAlignment="1">
      <alignment horizontal="left" vertical="center"/>
    </xf>
    <xf numFmtId="41" fontId="65" fillId="5" borderId="1" xfId="0" applyNumberFormat="1" applyFont="1" applyFill="1" applyBorder="1" applyAlignment="1">
      <alignment horizontal="right" vertical="center"/>
    </xf>
    <xf numFmtId="0" fontId="65" fillId="5" borderId="24" xfId="0" applyFont="1" applyFill="1" applyBorder="1" applyAlignment="1">
      <alignment horizontal="left" vertical="center"/>
    </xf>
    <xf numFmtId="0" fontId="65" fillId="5" borderId="36" xfId="0" applyFont="1" applyFill="1" applyBorder="1" applyAlignment="1">
      <alignment horizontal="center" vertical="center"/>
    </xf>
    <xf numFmtId="41" fontId="65" fillId="5" borderId="1" xfId="0" applyNumberFormat="1" applyFont="1" applyFill="1" applyBorder="1" applyAlignment="1">
      <alignment vertical="center"/>
    </xf>
    <xf numFmtId="173" fontId="65" fillId="5" borderId="1" xfId="0" applyNumberFormat="1" applyFont="1" applyFill="1" applyBorder="1" applyAlignment="1">
      <alignment vertical="center" wrapText="1"/>
    </xf>
    <xf numFmtId="0" fontId="12" fillId="5" borderId="1" xfId="0" applyFont="1" applyFill="1" applyBorder="1" applyAlignment="1">
      <alignment vertical="center"/>
    </xf>
    <xf numFmtId="0" fontId="12" fillId="5" borderId="24" xfId="0" applyFont="1" applyFill="1" applyBorder="1" applyAlignment="1">
      <alignment vertical="center"/>
    </xf>
    <xf numFmtId="0" fontId="12" fillId="5" borderId="36" xfId="0" applyFont="1" applyFill="1" applyBorder="1" applyAlignment="1">
      <alignment horizontal="center" vertical="center"/>
    </xf>
    <xf numFmtId="41" fontId="12" fillId="5" borderId="1" xfId="0" applyNumberFormat="1" applyFont="1" applyFill="1" applyBorder="1" applyAlignment="1">
      <alignment vertical="center"/>
    </xf>
    <xf numFmtId="0" fontId="12" fillId="5" borderId="1" xfId="0" applyFont="1" applyFill="1" applyBorder="1" applyAlignment="1">
      <alignment vertical="center" wrapText="1"/>
    </xf>
    <xf numFmtId="0" fontId="12" fillId="5" borderId="24" xfId="0" applyFont="1" applyFill="1" applyBorder="1" applyAlignment="1">
      <alignment vertical="center" wrapText="1"/>
    </xf>
    <xf numFmtId="0" fontId="64" fillId="2" borderId="3" xfId="0" applyFont="1" applyFill="1" applyBorder="1" applyAlignment="1">
      <alignment horizontal="center" vertical="center" wrapText="1"/>
    </xf>
    <xf numFmtId="0" fontId="5" fillId="2" borderId="2" xfId="0" applyFont="1" applyFill="1" applyBorder="1" applyAlignment="1">
      <alignment horizontal="left" vertical="top" wrapText="1"/>
    </xf>
    <xf numFmtId="0" fontId="5" fillId="2" borderId="6" xfId="0" applyFont="1" applyFill="1" applyBorder="1" applyAlignment="1">
      <alignment horizontal="left" vertical="top" wrapText="1"/>
    </xf>
    <xf numFmtId="0" fontId="2" fillId="2" borderId="45"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5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5" fillId="2" borderId="36" xfId="78" applyFont="1" applyFill="1" applyBorder="1" applyAlignment="1">
      <alignment horizontal="center" vertical="top" wrapText="1"/>
    </xf>
    <xf numFmtId="0" fontId="5" fillId="2" borderId="1" xfId="78" applyFont="1" applyFill="1" applyBorder="1" applyAlignment="1">
      <alignment horizontal="left" vertical="top"/>
    </xf>
    <xf numFmtId="0" fontId="5" fillId="2" borderId="2" xfId="78" applyFont="1" applyFill="1" applyBorder="1" applyAlignment="1">
      <alignment horizontal="left" vertical="top" wrapText="1"/>
    </xf>
    <xf numFmtId="0" fontId="5" fillId="2" borderId="1" xfId="78" applyFont="1" applyFill="1" applyBorder="1" applyAlignment="1">
      <alignment horizontal="left" vertical="top" wrapText="1"/>
    </xf>
    <xf numFmtId="0" fontId="5" fillId="2" borderId="24" xfId="78" applyFont="1" applyFill="1" applyBorder="1" applyAlignment="1">
      <alignment horizontal="left" vertical="top"/>
    </xf>
    <xf numFmtId="0" fontId="2" fillId="2" borderId="1" xfId="0" applyFont="1" applyFill="1" applyBorder="1" applyAlignment="1">
      <alignment horizontal="center" vertical="center"/>
    </xf>
    <xf numFmtId="2" fontId="0" fillId="0" borderId="6" xfId="0" applyNumberFormat="1" applyBorder="1" applyAlignment="1">
      <alignment horizontal="right" vertical="center"/>
    </xf>
    <xf numFmtId="0" fontId="0" fillId="0" borderId="6" xfId="0" applyBorder="1" applyAlignment="1">
      <alignment horizontal="right" vertical="center"/>
    </xf>
    <xf numFmtId="0" fontId="0" fillId="0" borderId="1" xfId="0" applyBorder="1" applyAlignment="1">
      <alignment horizontal="left" vertical="center" wrapText="1"/>
    </xf>
    <xf numFmtId="0" fontId="0" fillId="0" borderId="2" xfId="0" applyBorder="1" applyAlignment="1">
      <alignment horizontal="right" vertical="center"/>
    </xf>
    <xf numFmtId="0" fontId="0" fillId="0" borderId="1" xfId="0" applyBorder="1" applyAlignment="1">
      <alignment horizontal="right" vertical="center" wrapText="1"/>
    </xf>
    <xf numFmtId="0" fontId="3" fillId="0" borderId="1" xfId="78" applyFont="1" applyFill="1" applyBorder="1" applyAlignment="1">
      <alignment horizontal="right" vertical="center"/>
    </xf>
    <xf numFmtId="2" fontId="0" fillId="0" borderId="2" xfId="0" applyNumberFormat="1" applyBorder="1" applyAlignment="1">
      <alignment horizontal="right" vertical="center"/>
    </xf>
    <xf numFmtId="2" fontId="0" fillId="0" borderId="1" xfId="0" applyNumberFormat="1" applyBorder="1" applyAlignment="1">
      <alignment horizontal="right" vertical="center"/>
    </xf>
    <xf numFmtId="2" fontId="3" fillId="0" borderId="1" xfId="78" applyNumberFormat="1" applyFont="1" applyFill="1" applyBorder="1" applyAlignment="1">
      <alignment horizontal="right" vertical="center"/>
    </xf>
    <xf numFmtId="2" fontId="5" fillId="0" borderId="1" xfId="78" applyNumberFormat="1" applyFont="1" applyFill="1" applyBorder="1" applyAlignment="1">
      <alignment horizontal="right" vertical="center"/>
    </xf>
    <xf numFmtId="2" fontId="2" fillId="0" borderId="3" xfId="0" applyNumberFormat="1" applyFont="1" applyBorder="1" applyAlignment="1">
      <alignment horizontal="right" vertical="center"/>
    </xf>
    <xf numFmtId="0" fontId="2" fillId="0" borderId="3" xfId="0" applyFont="1" applyBorder="1" applyAlignment="1">
      <alignment horizontal="right" vertical="center" wrapText="1"/>
    </xf>
    <xf numFmtId="2" fontId="5" fillId="0" borderId="3" xfId="78" applyNumberFormat="1" applyFont="1" applyFill="1" applyBorder="1" applyAlignment="1">
      <alignment horizontal="right" vertical="center"/>
    </xf>
    <xf numFmtId="0" fontId="5" fillId="2" borderId="58" xfId="0" applyFont="1" applyFill="1" applyBorder="1" applyAlignment="1">
      <alignment horizontal="center" vertical="center" wrapText="1"/>
    </xf>
    <xf numFmtId="0" fontId="2" fillId="0" borderId="24" xfId="0" applyFont="1" applyBorder="1"/>
    <xf numFmtId="0" fontId="2" fillId="2" borderId="2" xfId="0" applyFont="1" applyFill="1" applyBorder="1" applyAlignment="1">
      <alignment horizontal="center" vertical="center" wrapText="1"/>
    </xf>
    <xf numFmtId="0" fontId="20" fillId="0" borderId="27" xfId="0" applyFont="1" applyBorder="1" applyAlignment="1">
      <alignment vertical="center" wrapText="1"/>
    </xf>
    <xf numFmtId="0" fontId="20" fillId="0" borderId="13" xfId="0" applyFont="1" applyBorder="1" applyAlignment="1">
      <alignment vertical="center" wrapText="1"/>
    </xf>
    <xf numFmtId="0" fontId="20" fillId="0" borderId="11" xfId="0" applyFont="1" applyBorder="1" applyAlignment="1">
      <alignment vertical="top" wrapText="1"/>
    </xf>
    <xf numFmtId="0" fontId="20" fillId="0" borderId="29" xfId="0" applyFont="1" applyBorder="1" applyAlignment="1">
      <alignment vertical="center" wrapText="1"/>
    </xf>
    <xf numFmtId="0" fontId="20" fillId="0" borderId="12" xfId="0" applyFont="1" applyBorder="1" applyAlignment="1">
      <alignment vertical="center" wrapText="1"/>
    </xf>
    <xf numFmtId="0" fontId="20" fillId="0" borderId="31" xfId="0" applyFont="1" applyBorder="1" applyAlignment="1">
      <alignment vertical="center" wrapText="1"/>
    </xf>
    <xf numFmtId="0" fontId="20" fillId="0" borderId="10" xfId="0" applyFont="1" applyBorder="1" applyAlignment="1">
      <alignment vertical="center" wrapText="1"/>
    </xf>
    <xf numFmtId="0" fontId="3" fillId="0" borderId="81" xfId="56" applyFont="1" applyBorder="1"/>
    <xf numFmtId="0" fontId="3" fillId="0" borderId="33" xfId="56" quotePrefix="1" applyFont="1" applyBorder="1" applyAlignment="1">
      <alignment vertical="center"/>
    </xf>
    <xf numFmtId="0" fontId="3" fillId="0" borderId="82" xfId="5" applyFont="1" applyBorder="1" applyAlignment="1">
      <alignment vertical="center"/>
    </xf>
    <xf numFmtId="2" fontId="5" fillId="0" borderId="2" xfId="5" applyNumberFormat="1" applyFont="1" applyBorder="1" applyAlignment="1">
      <alignment vertical="center"/>
    </xf>
    <xf numFmtId="2" fontId="3" fillId="0" borderId="2" xfId="5" applyNumberFormat="1" applyFont="1" applyBorder="1" applyAlignment="1">
      <alignment vertical="center"/>
    </xf>
    <xf numFmtId="2" fontId="5" fillId="0" borderId="55" xfId="5" applyNumberFormat="1" applyFont="1" applyBorder="1" applyAlignment="1">
      <alignment vertical="center"/>
    </xf>
    <xf numFmtId="2" fontId="5" fillId="0" borderId="48" xfId="5" applyNumberFormat="1" applyFont="1" applyBorder="1" applyAlignment="1">
      <alignment vertical="center"/>
    </xf>
    <xf numFmtId="0" fontId="5" fillId="0" borderId="49" xfId="5" applyFont="1" applyBorder="1" applyAlignment="1">
      <alignment horizontal="left" vertical="center"/>
    </xf>
    <xf numFmtId="2" fontId="3" fillId="0" borderId="56" xfId="5" applyNumberFormat="1" applyFont="1" applyBorder="1" applyAlignment="1">
      <alignment vertical="center"/>
    </xf>
    <xf numFmtId="2" fontId="3" fillId="0" borderId="6" xfId="5" applyNumberFormat="1" applyFont="1" applyBorder="1" applyAlignment="1">
      <alignment vertical="center"/>
    </xf>
    <xf numFmtId="2" fontId="5" fillId="0" borderId="6" xfId="5" applyNumberFormat="1" applyFont="1" applyBorder="1" applyAlignment="1">
      <alignment vertical="center"/>
    </xf>
    <xf numFmtId="0" fontId="3" fillId="0" borderId="46" xfId="5" applyFont="1" applyBorder="1" applyAlignment="1">
      <alignment horizontal="left" vertical="center"/>
    </xf>
    <xf numFmtId="0" fontId="3" fillId="0" borderId="36" xfId="5" applyFont="1" applyBorder="1" applyAlignment="1">
      <alignment horizontal="left" vertical="center"/>
    </xf>
    <xf numFmtId="0" fontId="3" fillId="0" borderId="39" xfId="5" applyFont="1" applyBorder="1" applyAlignment="1">
      <alignment horizontal="left" vertical="center"/>
    </xf>
    <xf numFmtId="0" fontId="3" fillId="0" borderId="50" xfId="5" applyFont="1" applyBorder="1" applyAlignment="1">
      <alignment horizontal="left" vertical="center"/>
    </xf>
    <xf numFmtId="0" fontId="5" fillId="0" borderId="36" xfId="5" applyFont="1" applyBorder="1" applyAlignment="1">
      <alignment horizontal="left" vertical="center"/>
    </xf>
    <xf numFmtId="0" fontId="5" fillId="0" borderId="54" xfId="5" applyFont="1" applyBorder="1" applyAlignment="1">
      <alignment horizontal="left" vertical="center"/>
    </xf>
    <xf numFmtId="165" fontId="5" fillId="0" borderId="0" xfId="5" applyNumberFormat="1" applyFont="1" applyAlignment="1">
      <alignment horizontal="right" vertical="center"/>
    </xf>
    <xf numFmtId="0" fontId="5" fillId="0" borderId="41" xfId="82" applyFont="1" applyBorder="1" applyAlignment="1">
      <alignment horizontal="center" vertical="center"/>
    </xf>
    <xf numFmtId="0" fontId="3" fillId="0" borderId="3" xfId="82" applyFont="1" applyBorder="1" applyAlignment="1">
      <alignment horizontal="left" vertical="center" indent="2"/>
    </xf>
    <xf numFmtId="1" fontId="3" fillId="0" borderId="3" xfId="82" applyNumberFormat="1" applyFont="1" applyBorder="1" applyAlignment="1">
      <alignment horizontal="right" vertical="center"/>
    </xf>
    <xf numFmtId="0" fontId="3" fillId="0" borderId="42" xfId="82" applyFont="1" applyBorder="1" applyAlignment="1">
      <alignment horizontal="left" vertical="center"/>
    </xf>
    <xf numFmtId="0" fontId="5" fillId="0" borderId="43" xfId="82" applyFont="1" applyBorder="1" applyAlignment="1">
      <alignment horizontal="center" vertical="center"/>
    </xf>
    <xf numFmtId="0" fontId="5" fillId="0" borderId="8" xfId="82" applyFont="1" applyBorder="1" applyAlignment="1">
      <alignment horizontal="left" vertical="center" indent="2"/>
    </xf>
    <xf numFmtId="1" fontId="5" fillId="0" borderId="8" xfId="82" applyNumberFormat="1" applyFont="1" applyBorder="1" applyAlignment="1">
      <alignment horizontal="right" vertical="center"/>
    </xf>
    <xf numFmtId="0" fontId="5" fillId="0" borderId="44" xfId="82" applyFont="1" applyBorder="1" applyAlignment="1">
      <alignment horizontal="left" vertical="center"/>
    </xf>
    <xf numFmtId="0" fontId="13" fillId="0" borderId="1" xfId="0" applyFont="1" applyBorder="1" applyAlignment="1">
      <alignment horizontal="right"/>
    </xf>
    <xf numFmtId="0" fontId="13" fillId="0" borderId="1" xfId="0" applyFont="1" applyBorder="1" applyAlignment="1">
      <alignment horizontal="right" vertical="center" wrapText="1"/>
    </xf>
    <xf numFmtId="0" fontId="13" fillId="0" borderId="24" xfId="0" applyFont="1" applyBorder="1" applyAlignment="1">
      <alignment horizontal="center" vertical="center" wrapText="1"/>
    </xf>
    <xf numFmtId="0" fontId="3" fillId="0" borderId="1" xfId="9" applyFont="1" applyBorder="1" applyAlignment="1">
      <alignment horizontal="left"/>
    </xf>
    <xf numFmtId="0" fontId="3" fillId="0" borderId="1" xfId="9" applyFont="1" applyBorder="1"/>
    <xf numFmtId="0" fontId="3" fillId="0" borderId="1" xfId="56" applyFont="1" applyBorder="1" applyAlignment="1">
      <alignment wrapText="1"/>
    </xf>
    <xf numFmtId="0" fontId="3" fillId="0" borderId="1" xfId="9" applyFont="1" applyBorder="1" applyAlignment="1">
      <alignment wrapText="1"/>
    </xf>
    <xf numFmtId="0" fontId="96" fillId="0" borderId="1" xfId="56" applyFont="1" applyBorder="1"/>
    <xf numFmtId="0" fontId="5" fillId="0" borderId="1" xfId="56" applyFont="1" applyBorder="1" applyAlignment="1">
      <alignment wrapText="1"/>
    </xf>
    <xf numFmtId="0" fontId="27" fillId="2" borderId="1" xfId="79" applyFont="1" applyFill="1" applyBorder="1" applyAlignment="1">
      <alignment horizontal="center" vertical="center" wrapText="1"/>
    </xf>
    <xf numFmtId="2" fontId="7" fillId="0" borderId="1" xfId="0" applyNumberFormat="1" applyFont="1" applyBorder="1" applyAlignment="1">
      <alignment vertical="top"/>
    </xf>
    <xf numFmtId="0" fontId="7" fillId="0" borderId="22" xfId="0" applyFont="1" applyBorder="1" applyAlignment="1">
      <alignment vertical="center" wrapText="1"/>
    </xf>
    <xf numFmtId="0" fontId="3" fillId="0" borderId="53" xfId="0" applyFont="1" applyBorder="1" applyAlignment="1">
      <alignment vertical="center"/>
    </xf>
    <xf numFmtId="0" fontId="3" fillId="0" borderId="16" xfId="0" applyFont="1" applyBorder="1" applyAlignment="1">
      <alignment vertical="center"/>
    </xf>
    <xf numFmtId="0" fontId="3" fillId="0" borderId="54" xfId="0" applyFont="1" applyBorder="1" applyAlignment="1">
      <alignment vertical="center"/>
    </xf>
    <xf numFmtId="3" fontId="5" fillId="0" borderId="0" xfId="0" applyNumberFormat="1" applyFont="1" applyAlignment="1">
      <alignment vertical="center" wrapText="1"/>
    </xf>
    <xf numFmtId="0" fontId="3" fillId="0" borderId="24" xfId="10" applyFont="1" applyBorder="1" applyAlignment="1">
      <alignment horizontal="left" wrapText="1"/>
    </xf>
    <xf numFmtId="0" fontId="98" fillId="0" borderId="36" xfId="0" applyFont="1" applyBorder="1" applyAlignment="1">
      <alignment vertical="center"/>
    </xf>
    <xf numFmtId="0" fontId="98" fillId="7" borderId="36" xfId="0" applyFont="1" applyFill="1" applyBorder="1" applyAlignment="1">
      <alignment vertical="center"/>
    </xf>
    <xf numFmtId="0" fontId="2" fillId="2" borderId="24" xfId="0" applyFont="1" applyFill="1" applyBorder="1"/>
    <xf numFmtId="0" fontId="2" fillId="0" borderId="24" xfId="0" applyFont="1" applyBorder="1" applyAlignment="1">
      <alignment horizontal="left"/>
    </xf>
    <xf numFmtId="0" fontId="98" fillId="7" borderId="45" xfId="0" applyFont="1" applyFill="1" applyBorder="1" applyAlignment="1">
      <alignment vertical="center"/>
    </xf>
    <xf numFmtId="0" fontId="2" fillId="2" borderId="46" xfId="0" applyFont="1" applyFill="1" applyBorder="1"/>
    <xf numFmtId="0" fontId="98" fillId="0" borderId="47" xfId="0" applyFont="1" applyBorder="1" applyAlignment="1">
      <alignment vertical="center"/>
    </xf>
    <xf numFmtId="0" fontId="2" fillId="0" borderId="49" xfId="0" applyFont="1" applyBorder="1"/>
    <xf numFmtId="0" fontId="98" fillId="0" borderId="45" xfId="0" applyFont="1" applyBorder="1" applyAlignment="1">
      <alignment vertical="center"/>
    </xf>
    <xf numFmtId="0" fontId="2" fillId="0" borderId="46" xfId="0" applyFont="1" applyBorder="1"/>
    <xf numFmtId="0" fontId="97" fillId="0" borderId="36" xfId="0" applyFont="1" applyBorder="1" applyAlignment="1">
      <alignment vertical="center"/>
    </xf>
    <xf numFmtId="0" fontId="97" fillId="7" borderId="36" xfId="0" applyFont="1" applyFill="1" applyBorder="1" applyAlignment="1">
      <alignment vertical="center"/>
    </xf>
    <xf numFmtId="0" fontId="97" fillId="0" borderId="45" xfId="0" applyFont="1" applyBorder="1" applyAlignment="1">
      <alignment vertical="center"/>
    </xf>
    <xf numFmtId="0" fontId="97" fillId="7" borderId="47" xfId="0" applyFont="1" applyFill="1" applyBorder="1" applyAlignment="1">
      <alignment vertical="center"/>
    </xf>
    <xf numFmtId="0" fontId="64" fillId="0" borderId="0" xfId="0" applyFont="1" applyBorder="1" applyAlignment="1">
      <alignment horizontal="center" vertical="center"/>
    </xf>
    <xf numFmtId="0" fontId="12" fillId="0" borderId="0" xfId="0" quotePrefix="1" applyFont="1" applyBorder="1" applyAlignment="1">
      <alignment vertical="center"/>
    </xf>
    <xf numFmtId="0" fontId="3" fillId="0" borderId="0" xfId="0" applyFont="1" applyBorder="1"/>
    <xf numFmtId="0" fontId="12" fillId="0" borderId="0" xfId="0" applyFont="1" applyBorder="1" applyAlignment="1">
      <alignment vertical="center"/>
    </xf>
    <xf numFmtId="0" fontId="12" fillId="0" borderId="0" xfId="0" applyFont="1" applyBorder="1"/>
    <xf numFmtId="0" fontId="67" fillId="0" borderId="0" xfId="0" applyFont="1" applyBorder="1" applyAlignment="1">
      <alignment horizontal="center" vertical="center" wrapText="1"/>
    </xf>
    <xf numFmtId="0" fontId="67" fillId="0" borderId="0" xfId="0" applyFont="1" applyBorder="1" applyAlignment="1">
      <alignment horizontal="center" vertical="center"/>
    </xf>
    <xf numFmtId="166" fontId="12" fillId="0" borderId="0" xfId="0" applyNumberFormat="1" applyFont="1" applyBorder="1" applyAlignment="1">
      <alignment vertical="center"/>
    </xf>
    <xf numFmtId="0" fontId="12" fillId="0" borderId="0" xfId="0" applyFont="1" applyBorder="1" applyAlignment="1">
      <alignment horizontal="center" vertical="center"/>
    </xf>
    <xf numFmtId="0" fontId="3" fillId="0" borderId="0" xfId="0" applyFont="1" applyBorder="1" applyAlignment="1">
      <alignment vertical="center"/>
    </xf>
    <xf numFmtId="0" fontId="64" fillId="2" borderId="2" xfId="0" applyFont="1" applyFill="1" applyBorder="1" applyAlignment="1">
      <alignment horizontal="center" vertical="center"/>
    </xf>
    <xf numFmtId="0" fontId="65" fillId="5" borderId="2" xfId="0" applyFont="1" applyFill="1" applyBorder="1" applyAlignment="1">
      <alignment horizontal="center" vertical="center"/>
    </xf>
    <xf numFmtId="0" fontId="12" fillId="5" borderId="2" xfId="0" applyFont="1" applyFill="1" applyBorder="1" applyAlignment="1">
      <alignment horizontal="center" vertical="center"/>
    </xf>
    <xf numFmtId="0" fontId="42" fillId="0" borderId="0" xfId="0" applyFont="1" applyBorder="1" applyAlignment="1">
      <alignment vertical="center"/>
    </xf>
    <xf numFmtId="0" fontId="12" fillId="0" borderId="0" xfId="0" applyFont="1" applyBorder="1" applyAlignment="1">
      <alignment horizontal="right" vertical="center" wrapText="1"/>
    </xf>
    <xf numFmtId="0" fontId="12" fillId="0" borderId="0" xfId="0" applyFont="1" applyBorder="1" applyAlignment="1">
      <alignment vertical="center" wrapText="1"/>
    </xf>
    <xf numFmtId="0" fontId="3" fillId="0" borderId="0" xfId="0" applyFont="1" applyBorder="1" applyAlignment="1">
      <alignment horizontal="right" vertical="center" wrapText="1"/>
    </xf>
    <xf numFmtId="0" fontId="3" fillId="0" borderId="23" xfId="0" applyFont="1" applyBorder="1" applyAlignment="1">
      <alignment horizontal="right" vertical="center" wrapText="1"/>
    </xf>
    <xf numFmtId="43" fontId="25" fillId="0" borderId="0" xfId="0" applyNumberFormat="1" applyFont="1" applyAlignment="1">
      <alignment vertical="center"/>
    </xf>
    <xf numFmtId="166" fontId="3" fillId="0" borderId="2" xfId="0" applyNumberFormat="1" applyFont="1" applyBorder="1" applyAlignment="1">
      <alignment vertical="center" wrapText="1"/>
    </xf>
    <xf numFmtId="0" fontId="3" fillId="0" borderId="2" xfId="0" applyFont="1" applyBorder="1" applyAlignment="1">
      <alignment horizontal="left" vertical="center" wrapText="1"/>
    </xf>
    <xf numFmtId="0" fontId="25" fillId="0" borderId="0" xfId="0" applyFont="1" applyBorder="1" applyAlignment="1">
      <alignment vertical="center"/>
    </xf>
    <xf numFmtId="0" fontId="0" fillId="0" borderId="0" xfId="0" applyBorder="1" applyAlignment="1">
      <alignment vertical="center"/>
    </xf>
    <xf numFmtId="0" fontId="100" fillId="0" borderId="1" xfId="0" applyFont="1" applyBorder="1" applyAlignment="1">
      <alignment horizontal="left" vertical="top"/>
    </xf>
    <xf numFmtId="0" fontId="0" fillId="8" borderId="1" xfId="0" applyFill="1" applyBorder="1" applyAlignment="1">
      <alignment horizontal="left" wrapText="1"/>
    </xf>
    <xf numFmtId="0" fontId="100" fillId="0" borderId="3" xfId="0" applyFont="1" applyBorder="1" applyAlignment="1">
      <alignment horizontal="left" vertical="top"/>
    </xf>
    <xf numFmtId="0" fontId="0" fillId="0" borderId="6" xfId="0" applyBorder="1" applyAlignment="1">
      <alignment horizontal="left" vertical="top"/>
    </xf>
    <xf numFmtId="0" fontId="0" fillId="0" borderId="4" xfId="0" applyBorder="1" applyAlignment="1">
      <alignment horizontal="left" vertical="top"/>
    </xf>
    <xf numFmtId="0" fontId="0" fillId="0" borderId="2" xfId="0" applyBorder="1" applyAlignment="1">
      <alignment horizontal="left" vertical="top"/>
    </xf>
    <xf numFmtId="0" fontId="5" fillId="0" borderId="4" xfId="0" applyFont="1" applyBorder="1"/>
    <xf numFmtId="0" fontId="5" fillId="0" borderId="2" xfId="0" applyFont="1" applyBorder="1"/>
    <xf numFmtId="0" fontId="2" fillId="0" borderId="36" xfId="0" applyFont="1" applyBorder="1" applyAlignment="1">
      <alignment horizontal="left" vertical="top"/>
    </xf>
    <xf numFmtId="0" fontId="2" fillId="0" borderId="50" xfId="0" applyFont="1" applyBorder="1" applyAlignment="1">
      <alignment horizontal="left" vertical="top"/>
    </xf>
    <xf numFmtId="0" fontId="0" fillId="0" borderId="36" xfId="0" applyFont="1" applyBorder="1" applyAlignment="1">
      <alignment horizontal="left" vertical="top"/>
    </xf>
    <xf numFmtId="0" fontId="0" fillId="0" borderId="24" xfId="0" applyBorder="1" applyAlignment="1">
      <alignment horizontal="left" vertical="top"/>
    </xf>
    <xf numFmtId="0" fontId="0" fillId="0" borderId="36" xfId="0" applyFont="1" applyBorder="1" applyAlignment="1">
      <alignment horizontal="left" vertical="top" wrapText="1"/>
    </xf>
    <xf numFmtId="0" fontId="0" fillId="0" borderId="36" xfId="0" applyBorder="1" applyAlignment="1">
      <alignment horizontal="left" vertical="top"/>
    </xf>
    <xf numFmtId="0" fontId="0" fillId="0" borderId="50" xfId="0" applyBorder="1" applyAlignment="1">
      <alignment horizontal="left" vertical="top"/>
    </xf>
    <xf numFmtId="0" fontId="2" fillId="0" borderId="45" xfId="0" applyFont="1" applyBorder="1" applyAlignment="1">
      <alignment horizontal="left" vertical="top"/>
    </xf>
    <xf numFmtId="0" fontId="100" fillId="0" borderId="6" xfId="0" applyFont="1" applyBorder="1" applyAlignment="1">
      <alignment horizontal="left" vertical="top"/>
    </xf>
    <xf numFmtId="0" fontId="100" fillId="0" borderId="40" xfId="0" applyFont="1" applyBorder="1" applyAlignment="1">
      <alignment horizontal="left" vertical="top"/>
    </xf>
    <xf numFmtId="0" fontId="0" fillId="0" borderId="40" xfId="0" applyBorder="1" applyAlignment="1">
      <alignment horizontal="left" vertical="top"/>
    </xf>
    <xf numFmtId="0" fontId="0" fillId="0" borderId="5" xfId="0" applyBorder="1" applyAlignment="1">
      <alignment horizontal="left" vertical="top"/>
    </xf>
    <xf numFmtId="0" fontId="0" fillId="0" borderId="56" xfId="0" applyBorder="1" applyAlignment="1">
      <alignment horizontal="left" vertical="top"/>
    </xf>
    <xf numFmtId="0" fontId="2" fillId="0" borderId="39" xfId="0" applyFont="1" applyBorder="1" applyAlignment="1">
      <alignment horizontal="left" vertical="top"/>
    </xf>
    <xf numFmtId="0" fontId="2" fillId="0" borderId="47" xfId="0" applyFont="1" applyBorder="1" applyAlignment="1">
      <alignment horizontal="left" vertical="top"/>
    </xf>
    <xf numFmtId="0" fontId="0" fillId="0" borderId="48" xfId="0" applyBorder="1" applyAlignment="1">
      <alignment horizontal="left" vertical="top"/>
    </xf>
    <xf numFmtId="0" fontId="100" fillId="0" borderId="48" xfId="0" applyFont="1" applyBorder="1" applyAlignment="1">
      <alignment horizontal="left" vertical="top"/>
    </xf>
    <xf numFmtId="0" fontId="2" fillId="0" borderId="43" xfId="0" applyFont="1" applyBorder="1" applyAlignment="1">
      <alignment horizontal="left" vertical="top"/>
    </xf>
    <xf numFmtId="0" fontId="0" fillId="0" borderId="8" xfId="0" applyBorder="1" applyAlignment="1">
      <alignment horizontal="left" vertical="top"/>
    </xf>
    <xf numFmtId="0" fontId="0" fillId="0" borderId="14" xfId="0" applyBorder="1" applyAlignment="1">
      <alignment horizontal="left" vertical="top"/>
    </xf>
    <xf numFmtId="0" fontId="100" fillId="0" borderId="14" xfId="0" applyFont="1" applyBorder="1" applyAlignment="1">
      <alignment horizontal="left" vertical="top"/>
    </xf>
    <xf numFmtId="0" fontId="100" fillId="0" borderId="0" xfId="0" applyFont="1" applyBorder="1" applyAlignment="1">
      <alignment horizontal="left" vertical="top"/>
    </xf>
    <xf numFmtId="0" fontId="100" fillId="0" borderId="68" xfId="0" applyFont="1" applyBorder="1" applyAlignment="1">
      <alignment horizontal="left" vertical="top"/>
    </xf>
    <xf numFmtId="0" fontId="2" fillId="0" borderId="23" xfId="0" applyFont="1" applyBorder="1" applyAlignment="1">
      <alignment horizontal="left" vertical="top"/>
    </xf>
    <xf numFmtId="0" fontId="0" fillId="0" borderId="0" xfId="0"/>
    <xf numFmtId="171" fontId="3" fillId="0" borderId="1" xfId="5" applyNumberFormat="1" applyFont="1" applyBorder="1" applyAlignment="1">
      <alignment horizontal="right"/>
    </xf>
    <xf numFmtId="0" fontId="3" fillId="0" borderId="1" xfId="85" applyFont="1" applyBorder="1" applyAlignment="1">
      <alignment horizontal="right"/>
    </xf>
    <xf numFmtId="171" fontId="3" fillId="0" borderId="1" xfId="85" applyNumberFormat="1" applyFont="1" applyBorder="1" applyAlignment="1">
      <alignment horizontal="right"/>
    </xf>
    <xf numFmtId="171" fontId="5" fillId="0" borderId="1" xfId="5" applyNumberFormat="1" applyFont="1" applyBorder="1" applyAlignment="1">
      <alignment horizontal="right"/>
    </xf>
    <xf numFmtId="2" fontId="5" fillId="0" borderId="1" xfId="5" applyNumberFormat="1" applyFont="1" applyBorder="1" applyAlignment="1">
      <alignment horizontal="right"/>
    </xf>
    <xf numFmtId="0" fontId="104" fillId="0" borderId="1" xfId="85" applyFont="1" applyBorder="1" applyAlignment="1">
      <alignment horizontal="right"/>
    </xf>
    <xf numFmtId="0" fontId="5" fillId="2" borderId="24" xfId="0" applyFont="1" applyFill="1" applyBorder="1" applyAlignment="1">
      <alignment horizontal="center" vertical="center" wrapText="1"/>
    </xf>
    <xf numFmtId="0" fontId="5" fillId="2" borderId="36"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3" fillId="0" borderId="45" xfId="0" applyFont="1" applyBorder="1" applyAlignment="1">
      <alignment horizontal="center" vertical="center" wrapText="1"/>
    </xf>
    <xf numFmtId="0" fontId="3" fillId="0" borderId="22" xfId="0" applyFont="1" applyBorder="1" applyAlignment="1">
      <alignment vertical="center"/>
    </xf>
    <xf numFmtId="0" fontId="3" fillId="0" borderId="0" xfId="0" applyFont="1" applyAlignment="1">
      <alignment vertical="center"/>
    </xf>
    <xf numFmtId="0" fontId="3" fillId="0" borderId="23" xfId="0" applyFont="1" applyBorder="1" applyAlignment="1">
      <alignment vertical="center"/>
    </xf>
    <xf numFmtId="0" fontId="5" fillId="0" borderId="0" xfId="0" applyFont="1" applyAlignment="1">
      <alignment horizontal="center" vertical="center"/>
    </xf>
    <xf numFmtId="0" fontId="3" fillId="2" borderId="1" xfId="0" applyFont="1" applyFill="1" applyBorder="1" applyAlignment="1">
      <alignment vertical="center"/>
    </xf>
    <xf numFmtId="169" fontId="3" fillId="0" borderId="40" xfId="0" applyNumberFormat="1" applyFont="1" applyBorder="1" applyAlignment="1">
      <alignment horizontal="right" vertical="center"/>
    </xf>
    <xf numFmtId="169" fontId="3" fillId="0" borderId="4" xfId="0" applyNumberFormat="1" applyFont="1" applyBorder="1" applyAlignment="1">
      <alignment horizontal="right" vertical="center"/>
    </xf>
    <xf numFmtId="0" fontId="8" fillId="0" borderId="19" xfId="0" applyFont="1" applyBorder="1" applyAlignment="1">
      <alignment horizontal="center" vertical="center" wrapText="1"/>
    </xf>
    <xf numFmtId="0" fontId="8" fillId="0" borderId="20" xfId="0" applyFont="1" applyBorder="1" applyAlignment="1">
      <alignment horizontal="center" vertical="center"/>
    </xf>
    <xf numFmtId="0" fontId="8" fillId="0" borderId="21" xfId="0" applyFont="1" applyBorder="1" applyAlignment="1">
      <alignment horizontal="center" vertical="center"/>
    </xf>
    <xf numFmtId="0" fontId="8" fillId="0" borderId="22" xfId="50" applyFont="1" applyBorder="1" applyAlignment="1">
      <alignment horizontal="center" vertical="center" wrapText="1"/>
    </xf>
    <xf numFmtId="0" fontId="8" fillId="0" borderId="0" xfId="50" applyFont="1" applyAlignment="1">
      <alignment horizontal="center" vertical="center" wrapText="1"/>
    </xf>
    <xf numFmtId="0" fontId="8" fillId="0" borderId="23" xfId="50" applyFont="1" applyBorder="1" applyAlignment="1">
      <alignment horizontal="center" vertical="center" wrapText="1"/>
    </xf>
    <xf numFmtId="0" fontId="5" fillId="2" borderId="36" xfId="50" applyFont="1" applyFill="1" applyBorder="1" applyAlignment="1">
      <alignment horizontal="center" vertical="center" wrapText="1"/>
    </xf>
    <xf numFmtId="0" fontId="5" fillId="2" borderId="1" xfId="50" applyFont="1" applyFill="1" applyBorder="1" applyAlignment="1">
      <alignment vertical="center" wrapText="1"/>
    </xf>
    <xf numFmtId="0" fontId="5" fillId="2" borderId="1" xfId="50" applyFont="1" applyFill="1" applyBorder="1" applyAlignment="1">
      <alignment horizontal="center" vertical="center"/>
    </xf>
    <xf numFmtId="0" fontId="5" fillId="2" borderId="24" xfId="50" applyFont="1" applyFill="1" applyBorder="1" applyAlignment="1">
      <alignment horizontal="center" vertical="center" wrapText="1"/>
    </xf>
    <xf numFmtId="0" fontId="28" fillId="0" borderId="33" xfId="90" applyFont="1" applyBorder="1" applyAlignment="1">
      <alignment horizontal="left" vertical="top" wrapText="1"/>
    </xf>
    <xf numFmtId="0" fontId="28" fillId="0" borderId="34" xfId="90" applyFont="1" applyBorder="1" applyAlignment="1">
      <alignment horizontal="left" vertical="top" wrapText="1"/>
    </xf>
    <xf numFmtId="0" fontId="8" fillId="0" borderId="19" xfId="90" applyFont="1" applyBorder="1" applyAlignment="1">
      <alignment horizontal="center" vertical="center" wrapText="1"/>
    </xf>
    <xf numFmtId="0" fontId="8" fillId="0" borderId="20" xfId="90" applyFont="1" applyBorder="1" applyAlignment="1">
      <alignment horizontal="center" vertical="center" wrapText="1"/>
    </xf>
    <xf numFmtId="0" fontId="8" fillId="0" borderId="21" xfId="90" applyFont="1" applyBorder="1" applyAlignment="1">
      <alignment horizontal="center" vertical="center" wrapText="1"/>
    </xf>
    <xf numFmtId="0" fontId="27" fillId="0" borderId="36" xfId="90" applyFont="1" applyBorder="1" applyAlignment="1">
      <alignment horizontal="left" vertical="top" wrapText="1"/>
    </xf>
    <xf numFmtId="0" fontId="27" fillId="0" borderId="1" xfId="90" applyFont="1" applyBorder="1" applyAlignment="1">
      <alignment horizontal="left" vertical="top" wrapText="1"/>
    </xf>
    <xf numFmtId="0" fontId="27" fillId="0" borderId="36" xfId="90" applyFont="1" applyBorder="1" applyAlignment="1">
      <alignment horizontal="left" vertical="center" wrapText="1"/>
    </xf>
    <xf numFmtId="0" fontId="27" fillId="0" borderId="1" xfId="90" applyFont="1" applyBorder="1" applyAlignment="1">
      <alignment horizontal="left" vertical="center" wrapText="1"/>
    </xf>
    <xf numFmtId="0" fontId="3" fillId="0" borderId="22" xfId="90" applyFont="1" applyBorder="1" applyAlignment="1">
      <alignment horizontal="left" vertical="center" wrapText="1"/>
    </xf>
    <xf numFmtId="0" fontId="3" fillId="0" borderId="0" xfId="90" applyFont="1" applyAlignment="1">
      <alignment horizontal="left" vertical="center" wrapText="1"/>
    </xf>
    <xf numFmtId="0" fontId="3" fillId="0" borderId="22" xfId="90" applyFont="1" applyBorder="1" applyAlignment="1">
      <alignment horizontal="left" vertical="top" wrapText="1"/>
    </xf>
    <xf numFmtId="0" fontId="3" fillId="0" borderId="0" xfId="90" applyFont="1" applyAlignment="1">
      <alignment horizontal="left" vertical="top" wrapText="1"/>
    </xf>
    <xf numFmtId="0" fontId="0" fillId="0" borderId="22" xfId="0" applyBorder="1" applyAlignment="1">
      <alignment horizontal="left" vertical="top" wrapText="1"/>
    </xf>
    <xf numFmtId="0" fontId="0" fillId="0" borderId="0" xfId="0" applyAlignment="1">
      <alignment horizontal="left" vertical="top" wrapText="1"/>
    </xf>
    <xf numFmtId="0" fontId="0" fillId="0" borderId="23" xfId="0" applyBorder="1" applyAlignment="1">
      <alignment horizontal="left" vertical="top" wrapText="1"/>
    </xf>
    <xf numFmtId="0" fontId="0" fillId="0" borderId="22" xfId="0" applyBorder="1"/>
    <xf numFmtId="0" fontId="0" fillId="0" borderId="0" xfId="0"/>
    <xf numFmtId="0" fontId="0" fillId="0" borderId="23" xfId="0" applyBorder="1"/>
    <xf numFmtId="0" fontId="95" fillId="0" borderId="63" xfId="0" applyFont="1" applyBorder="1" applyAlignment="1">
      <alignment horizontal="center" wrapText="1"/>
    </xf>
    <xf numFmtId="0" fontId="95" fillId="0" borderId="64" xfId="0" applyFont="1" applyBorder="1" applyAlignment="1">
      <alignment horizontal="center" wrapText="1"/>
    </xf>
    <xf numFmtId="0" fontId="95" fillId="0" borderId="65" xfId="0" applyFont="1" applyBorder="1" applyAlignment="1">
      <alignment horizontal="center" wrapText="1"/>
    </xf>
    <xf numFmtId="0" fontId="0" fillId="0" borderId="36" xfId="0" applyBorder="1" applyAlignment="1">
      <alignment horizontal="right"/>
    </xf>
    <xf numFmtId="0" fontId="0" fillId="0" borderId="1" xfId="0" applyBorder="1" applyAlignment="1">
      <alignment horizontal="right"/>
    </xf>
    <xf numFmtId="0" fontId="0" fillId="0" borderId="24" xfId="0" applyBorder="1" applyAlignment="1">
      <alignment horizontal="right"/>
    </xf>
    <xf numFmtId="0" fontId="2" fillId="0" borderId="36" xfId="0" applyFont="1" applyBorder="1" applyAlignment="1">
      <alignment horizontal="left"/>
    </xf>
    <xf numFmtId="0" fontId="2" fillId="0" borderId="1" xfId="0" applyFont="1" applyBorder="1" applyAlignment="1">
      <alignment horizontal="left"/>
    </xf>
    <xf numFmtId="0" fontId="5" fillId="2" borderId="3"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0" fillId="0" borderId="36" xfId="0" applyBorder="1"/>
    <xf numFmtId="0" fontId="0" fillId="0" borderId="1" xfId="0" applyBorder="1"/>
    <xf numFmtId="0" fontId="0" fillId="0" borderId="24" xfId="0" applyBorder="1"/>
    <xf numFmtId="0" fontId="0" fillId="0" borderId="53" xfId="0" applyBorder="1" applyAlignment="1">
      <alignment horizontal="center" vertical="top" wrapText="1"/>
    </xf>
    <xf numFmtId="0" fontId="0" fillId="0" borderId="16" xfId="0" applyBorder="1" applyAlignment="1">
      <alignment horizontal="center" vertical="top" wrapText="1"/>
    </xf>
    <xf numFmtId="0" fontId="0" fillId="0" borderId="54" xfId="0" applyBorder="1" applyAlignment="1">
      <alignment horizontal="center" vertical="top" wrapText="1"/>
    </xf>
    <xf numFmtId="0" fontId="0" fillId="0" borderId="38" xfId="0" applyBorder="1" applyAlignment="1">
      <alignment horizontal="center" vertical="top" wrapText="1"/>
    </xf>
    <xf numFmtId="0" fontId="0" fillId="0" borderId="5" xfId="0" applyBorder="1" applyAlignment="1">
      <alignment horizontal="center" vertical="top" wrapText="1"/>
    </xf>
    <xf numFmtId="0" fontId="0" fillId="0" borderId="39" xfId="0" applyBorder="1" applyAlignment="1">
      <alignment horizontal="center" vertical="top" wrapText="1"/>
    </xf>
    <xf numFmtId="0" fontId="0" fillId="0" borderId="66" xfId="0" applyBorder="1" applyAlignment="1">
      <alignment horizontal="left" vertical="top" wrapText="1"/>
    </xf>
    <xf numFmtId="0" fontId="0" fillId="0" borderId="83" xfId="0" applyBorder="1" applyAlignment="1">
      <alignment horizontal="left" vertical="top" wrapText="1"/>
    </xf>
    <xf numFmtId="0" fontId="0" fillId="0" borderId="78" xfId="0" applyBorder="1" applyAlignment="1">
      <alignment horizontal="left" vertical="top" wrapText="1"/>
    </xf>
    <xf numFmtId="0" fontId="5" fillId="2" borderId="24" xfId="0" applyFont="1" applyFill="1" applyBorder="1" applyAlignment="1">
      <alignment horizontal="center" vertical="center" wrapText="1"/>
    </xf>
    <xf numFmtId="0" fontId="95" fillId="0" borderId="19" xfId="0" applyFont="1" applyBorder="1" applyAlignment="1">
      <alignment horizontal="center" wrapText="1"/>
    </xf>
    <xf numFmtId="0" fontId="95" fillId="0" borderId="20" xfId="0" applyFont="1" applyBorder="1" applyAlignment="1">
      <alignment horizontal="center" wrapText="1"/>
    </xf>
    <xf numFmtId="0" fontId="95" fillId="0" borderId="21" xfId="0" applyFont="1" applyBorder="1" applyAlignment="1">
      <alignment horizontal="center" wrapText="1"/>
    </xf>
    <xf numFmtId="0" fontId="0" fillId="0" borderId="22" xfId="0" applyBorder="1" applyAlignment="1">
      <alignment horizontal="center"/>
    </xf>
    <xf numFmtId="0" fontId="0" fillId="0" borderId="0" xfId="0" applyAlignment="1">
      <alignment horizontal="center"/>
    </xf>
    <xf numFmtId="0" fontId="0" fillId="0" borderId="23" xfId="0" applyBorder="1" applyAlignment="1">
      <alignment horizontal="center"/>
    </xf>
    <xf numFmtId="0" fontId="5" fillId="2" borderId="36"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0" borderId="36" xfId="0" applyFont="1" applyBorder="1" applyAlignment="1">
      <alignment horizontal="left" vertical="center" wrapText="1"/>
    </xf>
    <xf numFmtId="0" fontId="5" fillId="0" borderId="3" xfId="0" applyFont="1" applyBorder="1" applyAlignment="1">
      <alignment horizontal="left" vertical="center" wrapText="1"/>
    </xf>
    <xf numFmtId="0" fontId="5" fillId="0" borderId="8" xfId="0" applyFont="1" applyBorder="1" applyAlignment="1">
      <alignment horizontal="left" vertical="center" wrapText="1"/>
    </xf>
    <xf numFmtId="0" fontId="5" fillId="0" borderId="6" xfId="0" applyFont="1" applyBorder="1" applyAlignment="1">
      <alignment horizontal="left" vertical="center" wrapText="1"/>
    </xf>
    <xf numFmtId="0" fontId="3" fillId="0" borderId="33" xfId="0" applyFont="1" applyBorder="1" applyAlignment="1">
      <alignment horizontal="left" vertical="top" wrapText="1"/>
    </xf>
    <xf numFmtId="0" fontId="3" fillId="0" borderId="34" xfId="0" applyFont="1" applyBorder="1" applyAlignment="1">
      <alignment horizontal="left" vertical="top" wrapText="1"/>
    </xf>
    <xf numFmtId="0" fontId="3" fillId="0" borderId="35" xfId="0" applyFont="1" applyBorder="1" applyAlignment="1">
      <alignment horizontal="left" vertical="top" wrapText="1"/>
    </xf>
    <xf numFmtId="0" fontId="3" fillId="0" borderId="41" xfId="0" applyFont="1" applyBorder="1" applyAlignment="1">
      <alignment horizontal="left" vertical="center" wrapText="1" indent="2"/>
    </xf>
    <xf numFmtId="0" fontId="3" fillId="0" borderId="43" xfId="0" applyFont="1" applyBorder="1" applyAlignment="1">
      <alignment horizontal="left" vertical="center" wrapText="1" indent="2"/>
    </xf>
    <xf numFmtId="0" fontId="3" fillId="0" borderId="45" xfId="0" applyFont="1" applyBorder="1" applyAlignment="1">
      <alignment horizontal="left" vertical="center" wrapText="1" indent="2"/>
    </xf>
    <xf numFmtId="0" fontId="3" fillId="0" borderId="3" xfId="0" applyFont="1" applyBorder="1" applyAlignment="1">
      <alignment horizontal="left" vertical="center" wrapText="1" indent="2"/>
    </xf>
    <xf numFmtId="0" fontId="3" fillId="0" borderId="8" xfId="0" applyFont="1" applyBorder="1" applyAlignment="1">
      <alignment horizontal="left" vertical="center" wrapText="1" indent="2"/>
    </xf>
    <xf numFmtId="0" fontId="3" fillId="0" borderId="6" xfId="0" applyFont="1" applyBorder="1" applyAlignment="1">
      <alignment horizontal="left" vertical="center" wrapText="1" indent="2"/>
    </xf>
    <xf numFmtId="0" fontId="5" fillId="0" borderId="1" xfId="0" applyFont="1" applyBorder="1" applyAlignment="1">
      <alignment horizontal="left" vertical="center" wrapText="1"/>
    </xf>
    <xf numFmtId="0" fontId="8" fillId="0" borderId="20" xfId="0" applyFont="1" applyBorder="1" applyAlignment="1">
      <alignment horizontal="center" vertical="center" wrapText="1"/>
    </xf>
    <xf numFmtId="0" fontId="8" fillId="0" borderId="21" xfId="0" applyFont="1" applyBorder="1" applyAlignment="1">
      <alignment horizontal="center" vertical="center" wrapText="1"/>
    </xf>
    <xf numFmtId="0" fontId="7" fillId="0" borderId="5" xfId="0" applyFont="1" applyBorder="1" applyAlignment="1">
      <alignment horizontal="right" vertical="center"/>
    </xf>
    <xf numFmtId="0" fontId="7" fillId="0" borderId="39" xfId="0" applyFont="1" applyBorder="1" applyAlignment="1">
      <alignment horizontal="right" vertical="center"/>
    </xf>
    <xf numFmtId="0" fontId="5" fillId="2" borderId="1" xfId="0" applyFont="1" applyFill="1" applyBorder="1" applyAlignment="1">
      <alignment horizontal="center" vertical="center"/>
    </xf>
    <xf numFmtId="0" fontId="5" fillId="2" borderId="50" xfId="0" applyFont="1" applyFill="1" applyBorder="1" applyAlignment="1">
      <alignment horizontal="center" vertical="center" wrapText="1"/>
    </xf>
    <xf numFmtId="0" fontId="5" fillId="0" borderId="36" xfId="5" applyFont="1" applyBorder="1" applyAlignment="1">
      <alignment horizontal="center" vertical="center" wrapText="1"/>
    </xf>
    <xf numFmtId="0" fontId="5" fillId="0" borderId="1" xfId="5" applyFont="1" applyBorder="1" applyAlignment="1">
      <alignment horizontal="center" vertical="center"/>
    </xf>
    <xf numFmtId="0" fontId="5" fillId="0" borderId="36" xfId="5" applyFont="1" applyBorder="1" applyAlignment="1">
      <alignment horizontal="center" vertical="center"/>
    </xf>
    <xf numFmtId="0" fontId="5" fillId="0" borderId="1" xfId="4" applyFont="1" applyBorder="1" applyAlignment="1">
      <alignment horizontal="center" vertical="center" wrapText="1"/>
    </xf>
    <xf numFmtId="0" fontId="3" fillId="0" borderId="45" xfId="5" applyFont="1" applyBorder="1" applyAlignment="1">
      <alignment horizontal="center" vertical="center"/>
    </xf>
    <xf numFmtId="0" fontId="3" fillId="0" borderId="36" xfId="5" applyFont="1" applyBorder="1" applyAlignment="1">
      <alignment horizontal="center" vertical="center"/>
    </xf>
    <xf numFmtId="0" fontId="3" fillId="0" borderId="6" xfId="4" applyFont="1" applyBorder="1" applyAlignment="1">
      <alignment horizontal="center" vertical="center" wrapText="1"/>
    </xf>
    <xf numFmtId="0" fontId="3" fillId="0" borderId="1" xfId="4" applyFont="1" applyBorder="1" applyAlignment="1">
      <alignment horizontal="center" vertical="center"/>
    </xf>
    <xf numFmtId="0" fontId="3" fillId="0" borderId="1" xfId="4" applyFont="1" applyBorder="1" applyAlignment="1">
      <alignment horizontal="center" vertical="center" wrapText="1"/>
    </xf>
    <xf numFmtId="0" fontId="3" fillId="0" borderId="47" xfId="5" applyFont="1" applyBorder="1" applyAlignment="1">
      <alignment horizontal="center" vertical="center"/>
    </xf>
    <xf numFmtId="0" fontId="3" fillId="0" borderId="48" xfId="4" applyFont="1" applyBorder="1" applyAlignment="1">
      <alignment horizontal="center" vertical="center"/>
    </xf>
    <xf numFmtId="0" fontId="3" fillId="0" borderId="48" xfId="4" applyFont="1" applyBorder="1" applyAlignment="1">
      <alignment horizontal="center" vertical="center" wrapText="1"/>
    </xf>
    <xf numFmtId="0" fontId="3" fillId="0" borderId="6" xfId="4" applyFont="1" applyBorder="1" applyAlignment="1">
      <alignment horizontal="center" vertical="center"/>
    </xf>
    <xf numFmtId="0" fontId="3" fillId="0" borderId="3" xfId="4" applyFont="1" applyBorder="1" applyAlignment="1">
      <alignment horizontal="left" vertical="center" wrapText="1"/>
    </xf>
    <xf numFmtId="0" fontId="3" fillId="0" borderId="8" xfId="4" applyFont="1" applyBorder="1" applyAlignment="1">
      <alignment horizontal="left" vertical="center" wrapText="1"/>
    </xf>
    <xf numFmtId="0" fontId="3" fillId="0" borderId="6" xfId="4" applyFont="1" applyBorder="1" applyAlignment="1">
      <alignment horizontal="left" vertical="center" wrapText="1"/>
    </xf>
    <xf numFmtId="0" fontId="8" fillId="0" borderId="19" xfId="5" applyFont="1" applyBorder="1" applyAlignment="1">
      <alignment horizontal="center" vertical="center" wrapText="1"/>
    </xf>
    <xf numFmtId="0" fontId="8" fillId="0" borderId="20" xfId="5" applyFont="1" applyBorder="1" applyAlignment="1">
      <alignment horizontal="center" vertical="center"/>
    </xf>
    <xf numFmtId="0" fontId="8" fillId="0" borderId="21" xfId="5" applyFont="1" applyBorder="1" applyAlignment="1">
      <alignment horizontal="center" vertical="center"/>
    </xf>
    <xf numFmtId="0" fontId="3" fillId="0" borderId="0" xfId="5" applyFont="1" applyAlignment="1">
      <alignment horizontal="center" vertical="center"/>
    </xf>
    <xf numFmtId="0" fontId="3" fillId="0" borderId="23" xfId="5" applyFont="1" applyBorder="1" applyAlignment="1">
      <alignment horizontal="center" vertical="center"/>
    </xf>
    <xf numFmtId="0" fontId="5" fillId="0" borderId="1" xfId="4" applyFont="1" applyBorder="1" applyAlignment="1">
      <alignment horizontal="center" vertical="center"/>
    </xf>
    <xf numFmtId="0" fontId="3" fillId="0" borderId="2" xfId="4" quotePrefix="1" applyFont="1" applyBorder="1" applyAlignment="1">
      <alignment horizontal="center" vertical="center"/>
    </xf>
    <xf numFmtId="0" fontId="3" fillId="0" borderId="1" xfId="4" quotePrefix="1" applyFont="1" applyBorder="1" applyAlignment="1">
      <alignment horizontal="center" vertical="center"/>
    </xf>
    <xf numFmtId="0" fontId="5" fillId="0" borderId="24" xfId="4" applyFont="1" applyBorder="1" applyAlignment="1">
      <alignment horizontal="center" vertical="center"/>
    </xf>
    <xf numFmtId="0" fontId="3" fillId="0" borderId="45" xfId="0" applyFont="1" applyBorder="1" applyAlignment="1">
      <alignment horizontal="center" vertical="center" wrapText="1"/>
    </xf>
    <xf numFmtId="0" fontId="3" fillId="0" borderId="36" xfId="0" applyFont="1" applyBorder="1" applyAlignment="1">
      <alignment horizontal="center" vertical="center"/>
    </xf>
    <xf numFmtId="0" fontId="3" fillId="0" borderId="56" xfId="0" applyFont="1" applyBorder="1" applyAlignment="1">
      <alignment horizontal="center" vertical="center" wrapText="1"/>
    </xf>
    <xf numFmtId="0" fontId="3" fillId="0" borderId="2" xfId="0" applyFont="1" applyBorder="1" applyAlignment="1">
      <alignment horizontal="center" vertical="center"/>
    </xf>
    <xf numFmtId="0" fontId="5" fillId="0" borderId="36" xfId="0" applyFont="1" applyBorder="1" applyAlignment="1">
      <alignment horizontal="center" vertical="center" wrapText="1"/>
    </xf>
    <xf numFmtId="0" fontId="5" fillId="0" borderId="36" xfId="0" applyFont="1" applyBorder="1" applyAlignment="1">
      <alignment horizontal="center" vertical="center"/>
    </xf>
    <xf numFmtId="0" fontId="5" fillId="0" borderId="2" xfId="0" applyFont="1" applyBorder="1" applyAlignment="1">
      <alignment horizontal="center" vertical="center"/>
    </xf>
    <xf numFmtId="0" fontId="26" fillId="0" borderId="22" xfId="0" applyFont="1" applyBorder="1" applyAlignment="1">
      <alignment horizontal="left" vertical="center" wrapText="1"/>
    </xf>
    <xf numFmtId="0" fontId="26" fillId="0" borderId="0" xfId="0" applyFont="1" applyAlignment="1">
      <alignment horizontal="left" vertical="center" wrapText="1"/>
    </xf>
    <xf numFmtId="0" fontId="26" fillId="0" borderId="23" xfId="0" applyFont="1" applyBorder="1" applyAlignment="1">
      <alignment horizontal="left" vertical="center" wrapText="1"/>
    </xf>
    <xf numFmtId="0" fontId="3" fillId="0" borderId="2" xfId="0" applyFont="1" applyBorder="1" applyAlignment="1">
      <alignment horizontal="center" vertical="center" wrapText="1"/>
    </xf>
    <xf numFmtId="0" fontId="3" fillId="0" borderId="55" xfId="0" applyFont="1" applyBorder="1" applyAlignment="1">
      <alignment horizontal="center" vertical="center"/>
    </xf>
    <xf numFmtId="0" fontId="3" fillId="0" borderId="36" xfId="0" applyFont="1" applyBorder="1" applyAlignment="1">
      <alignment horizontal="center" vertical="center" wrapText="1"/>
    </xf>
    <xf numFmtId="0" fontId="3" fillId="0" borderId="47" xfId="0" applyFont="1" applyBorder="1" applyAlignment="1">
      <alignment horizontal="center" vertical="center"/>
    </xf>
    <xf numFmtId="0" fontId="5" fillId="2" borderId="36" xfId="0" applyFont="1" applyFill="1" applyBorder="1" applyAlignment="1">
      <alignment horizontal="center" vertical="center"/>
    </xf>
    <xf numFmtId="0" fontId="5" fillId="2" borderId="7"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2" xfId="0" applyFont="1" applyFill="1" applyBorder="1" applyAlignment="1">
      <alignment horizontal="center" vertical="center"/>
    </xf>
    <xf numFmtId="0" fontId="3" fillId="0" borderId="33" xfId="0" applyFont="1" applyBorder="1" applyAlignment="1">
      <alignment horizontal="left" vertical="center" wrapText="1"/>
    </xf>
    <xf numFmtId="0" fontId="3" fillId="0" borderId="34" xfId="0" applyFont="1" applyBorder="1" applyAlignment="1">
      <alignment horizontal="left" vertical="center" wrapText="1"/>
    </xf>
    <xf numFmtId="0" fontId="3" fillId="0" borderId="35" xfId="0" applyFont="1" applyBorder="1" applyAlignment="1">
      <alignment horizontal="left" vertical="center" wrapText="1"/>
    </xf>
    <xf numFmtId="0" fontId="3" fillId="0" borderId="41" xfId="5" applyFont="1" applyBorder="1" applyAlignment="1">
      <alignment horizontal="center" vertical="center"/>
    </xf>
    <xf numFmtId="0" fontId="3" fillId="0" borderId="43" xfId="5" applyFont="1" applyBorder="1" applyAlignment="1">
      <alignment horizontal="center" vertical="center"/>
    </xf>
    <xf numFmtId="0" fontId="3" fillId="0" borderId="53" xfId="5" applyFont="1" applyBorder="1" applyAlignment="1">
      <alignment horizontal="center" vertical="center"/>
    </xf>
    <xf numFmtId="0" fontId="3" fillId="0" borderId="22" xfId="5" applyFont="1" applyBorder="1" applyAlignment="1">
      <alignment horizontal="center" vertical="center"/>
    </xf>
    <xf numFmtId="0" fontId="3" fillId="0" borderId="38" xfId="5" applyFont="1" applyBorder="1" applyAlignment="1">
      <alignment horizontal="center" vertical="center"/>
    </xf>
    <xf numFmtId="0" fontId="26" fillId="0" borderId="53" xfId="0" applyFont="1" applyBorder="1" applyAlignment="1">
      <alignment horizontal="left" vertical="center" wrapText="1"/>
    </xf>
    <xf numFmtId="0" fontId="26" fillId="0" borderId="16" xfId="0" applyFont="1" applyBorder="1" applyAlignment="1">
      <alignment horizontal="left" vertical="center" wrapText="1"/>
    </xf>
    <xf numFmtId="0" fontId="26" fillId="0" borderId="54" xfId="0" applyFont="1" applyBorder="1" applyAlignment="1">
      <alignment horizontal="left" vertical="center" wrapText="1"/>
    </xf>
    <xf numFmtId="0" fontId="3" fillId="0" borderId="5" xfId="4" applyFont="1" applyBorder="1" applyAlignment="1">
      <alignment horizontal="center" vertical="center"/>
    </xf>
    <xf numFmtId="0" fontId="3" fillId="0" borderId="39" xfId="4" applyFont="1" applyBorder="1" applyAlignment="1">
      <alignment horizontal="center" vertical="center"/>
    </xf>
    <xf numFmtId="0" fontId="8" fillId="0" borderId="20" xfId="5" applyFont="1" applyBorder="1" applyAlignment="1">
      <alignment horizontal="center" vertical="center" wrapText="1"/>
    </xf>
    <xf numFmtId="0" fontId="8" fillId="0" borderId="21" xfId="5" applyFont="1" applyBorder="1" applyAlignment="1">
      <alignment horizontal="center" vertical="center" wrapText="1"/>
    </xf>
    <xf numFmtId="0" fontId="7" fillId="0" borderId="38" xfId="5" applyFont="1" applyBorder="1" applyAlignment="1">
      <alignment horizontal="right" vertical="center" wrapText="1"/>
    </xf>
    <xf numFmtId="0" fontId="7" fillId="0" borderId="5" xfId="5" applyFont="1" applyBorder="1" applyAlignment="1">
      <alignment horizontal="right" vertical="center" wrapText="1"/>
    </xf>
    <xf numFmtId="0" fontId="7" fillId="0" borderId="39" xfId="5" applyFont="1" applyBorder="1" applyAlignment="1">
      <alignment horizontal="right" vertical="center" wrapText="1"/>
    </xf>
    <xf numFmtId="0" fontId="5" fillId="0" borderId="37" xfId="5" applyFont="1" applyBorder="1" applyAlignment="1">
      <alignment horizontal="left" vertical="center"/>
    </xf>
    <xf numFmtId="0" fontId="5" fillId="0" borderId="4" xfId="5" applyFont="1" applyBorder="1" applyAlignment="1">
      <alignment horizontal="left" vertical="center"/>
    </xf>
    <xf numFmtId="0" fontId="5" fillId="0" borderId="36" xfId="5" applyFont="1" applyBorder="1" applyAlignment="1">
      <alignment horizontal="left" vertical="center"/>
    </xf>
    <xf numFmtId="0" fontId="5" fillId="0" borderId="1" xfId="5" applyFont="1" applyBorder="1" applyAlignment="1">
      <alignment horizontal="left" vertical="center"/>
    </xf>
    <xf numFmtId="0" fontId="26" fillId="0" borderId="22" xfId="5" applyFont="1" applyBorder="1" applyAlignment="1">
      <alignment horizontal="left" vertical="center"/>
    </xf>
    <xf numFmtId="0" fontId="26" fillId="0" borderId="0" xfId="5" applyFont="1" applyAlignment="1">
      <alignment horizontal="left" vertical="center"/>
    </xf>
    <xf numFmtId="0" fontId="13" fillId="0" borderId="19" xfId="0" applyFont="1" applyBorder="1" applyAlignment="1">
      <alignment horizontal="center" vertical="center" wrapText="1"/>
    </xf>
    <xf numFmtId="0" fontId="13" fillId="0" borderId="20" xfId="0" applyFont="1" applyBorder="1" applyAlignment="1">
      <alignment horizontal="center" vertical="center" wrapText="1"/>
    </xf>
    <xf numFmtId="0" fontId="13" fillId="0" borderId="21" xfId="0" applyFont="1" applyBorder="1" applyAlignment="1">
      <alignment horizontal="center" vertical="center" wrapText="1"/>
    </xf>
    <xf numFmtId="0" fontId="3" fillId="0" borderId="0" xfId="5" applyFont="1" applyAlignment="1">
      <alignment horizontal="center" vertical="center" wrapText="1"/>
    </xf>
    <xf numFmtId="0" fontId="3" fillId="0" borderId="0" xfId="5" applyFont="1" applyAlignment="1">
      <alignment horizontal="left" vertical="center" wrapText="1"/>
    </xf>
    <xf numFmtId="0" fontId="5" fillId="0" borderId="0" xfId="5" applyFont="1" applyAlignment="1">
      <alignment horizontal="center" vertical="center" wrapText="1"/>
    </xf>
    <xf numFmtId="17" fontId="3" fillId="0" borderId="0" xfId="5" applyNumberFormat="1" applyFont="1" applyAlignment="1">
      <alignment horizontal="right" vertical="center"/>
    </xf>
    <xf numFmtId="0" fontId="5" fillId="2" borderId="1" xfId="5" applyFont="1" applyFill="1" applyBorder="1" applyAlignment="1">
      <alignment horizontal="center" vertical="center"/>
    </xf>
    <xf numFmtId="0" fontId="5" fillId="2" borderId="1" xfId="5" applyFont="1" applyFill="1" applyBorder="1" applyAlignment="1">
      <alignment horizontal="center" vertical="center" wrapText="1"/>
    </xf>
    <xf numFmtId="0" fontId="5" fillId="2" borderId="7" xfId="5" applyFont="1" applyFill="1" applyBorder="1" applyAlignment="1">
      <alignment horizontal="center" vertical="center" wrapText="1"/>
    </xf>
    <xf numFmtId="0" fontId="5" fillId="2" borderId="1" xfId="5" applyFont="1" applyFill="1" applyBorder="1" applyAlignment="1">
      <alignment horizontal="center" vertical="top" wrapText="1"/>
    </xf>
    <xf numFmtId="0" fontId="5" fillId="2" borderId="37" xfId="5" applyFont="1" applyFill="1" applyBorder="1" applyAlignment="1">
      <alignment horizontal="center" vertical="center" wrapText="1"/>
    </xf>
    <xf numFmtId="0" fontId="3" fillId="0" borderId="23" xfId="5" applyFont="1" applyBorder="1" applyAlignment="1">
      <alignment horizontal="center" vertical="center" wrapText="1"/>
    </xf>
    <xf numFmtId="0" fontId="3" fillId="0" borderId="33" xfId="5" applyFont="1" applyBorder="1" applyAlignment="1">
      <alignment horizontal="left" vertical="center" wrapText="1"/>
    </xf>
    <xf numFmtId="0" fontId="3" fillId="0" borderId="34" xfId="5" applyFont="1" applyBorder="1" applyAlignment="1">
      <alignment horizontal="left" vertical="center" wrapText="1"/>
    </xf>
    <xf numFmtId="0" fontId="3" fillId="0" borderId="35" xfId="5" applyFont="1" applyBorder="1" applyAlignment="1">
      <alignment horizontal="left" vertical="center" wrapText="1"/>
    </xf>
    <xf numFmtId="0" fontId="5" fillId="0" borderId="19" xfId="5" applyFont="1" applyBorder="1" applyAlignment="1">
      <alignment horizontal="center" vertical="center" wrapText="1"/>
    </xf>
    <xf numFmtId="0" fontId="5" fillId="0" borderId="20" xfId="5" applyFont="1" applyBorder="1" applyAlignment="1">
      <alignment horizontal="center" vertical="center" wrapText="1"/>
    </xf>
    <xf numFmtId="0" fontId="5" fillId="0" borderId="21" xfId="5" applyFont="1" applyBorder="1" applyAlignment="1">
      <alignment horizontal="center" vertical="center" wrapText="1"/>
    </xf>
    <xf numFmtId="17" fontId="3" fillId="0" borderId="23" xfId="5" applyNumberFormat="1" applyFont="1" applyBorder="1" applyAlignment="1">
      <alignment horizontal="right" vertical="center"/>
    </xf>
    <xf numFmtId="0" fontId="5" fillId="2" borderId="50" xfId="5" applyFont="1" applyFill="1" applyBorder="1" applyAlignment="1">
      <alignment horizontal="center" vertical="center"/>
    </xf>
    <xf numFmtId="0" fontId="5" fillId="2" borderId="24" xfId="82" applyFont="1" applyFill="1" applyBorder="1" applyAlignment="1">
      <alignment horizontal="center" vertical="center"/>
    </xf>
    <xf numFmtId="0" fontId="5" fillId="2" borderId="1" xfId="82" applyFont="1" applyFill="1" applyBorder="1" applyAlignment="1">
      <alignment horizontal="center" vertical="center" wrapText="1"/>
    </xf>
    <xf numFmtId="0" fontId="5" fillId="2" borderId="1" xfId="82" applyFont="1" applyFill="1" applyBorder="1" applyAlignment="1">
      <alignment horizontal="center" vertical="center"/>
    </xf>
    <xf numFmtId="0" fontId="5" fillId="2" borderId="1" xfId="82" applyFont="1" applyFill="1" applyBorder="1" applyAlignment="1">
      <alignment horizontal="center" vertical="top" wrapText="1"/>
    </xf>
    <xf numFmtId="0" fontId="5" fillId="2" borderId="36" xfId="82" applyFont="1" applyFill="1" applyBorder="1" applyAlignment="1">
      <alignment horizontal="center" vertical="center" wrapText="1"/>
    </xf>
    <xf numFmtId="0" fontId="5" fillId="2" borderId="1" xfId="82" applyFont="1" applyFill="1" applyBorder="1" applyAlignment="1">
      <alignment horizontal="left" vertical="center" wrapText="1"/>
    </xf>
    <xf numFmtId="0" fontId="8" fillId="0" borderId="0" xfId="47" applyFont="1" applyAlignment="1">
      <alignment horizontal="center" vertical="center"/>
    </xf>
    <xf numFmtId="0" fontId="8" fillId="0" borderId="19" xfId="82" applyFont="1" applyBorder="1" applyAlignment="1">
      <alignment horizontal="center" vertical="center" wrapText="1"/>
    </xf>
    <xf numFmtId="0" fontId="8" fillId="0" borderId="20" xfId="82" applyFont="1" applyBorder="1" applyAlignment="1">
      <alignment horizontal="center" vertical="center"/>
    </xf>
    <xf numFmtId="0" fontId="8" fillId="0" borderId="21" xfId="82" applyFont="1" applyBorder="1" applyAlignment="1">
      <alignment horizontal="center" vertical="center"/>
    </xf>
    <xf numFmtId="0" fontId="5" fillId="0" borderId="5" xfId="47" applyFont="1" applyBorder="1" applyAlignment="1">
      <alignment horizontal="center" vertical="center"/>
    </xf>
    <xf numFmtId="0" fontId="5" fillId="0" borderId="5" xfId="82" applyFont="1" applyBorder="1" applyAlignment="1">
      <alignment horizontal="center" vertical="center"/>
    </xf>
    <xf numFmtId="0" fontId="5" fillId="0" borderId="5" xfId="82" applyFont="1" applyBorder="1" applyAlignment="1">
      <alignment horizontal="right" vertical="center"/>
    </xf>
    <xf numFmtId="0" fontId="5" fillId="0" borderId="39" xfId="82" applyFont="1" applyBorder="1" applyAlignment="1">
      <alignment horizontal="right" vertical="center"/>
    </xf>
    <xf numFmtId="0" fontId="5" fillId="2" borderId="1" xfId="47" applyFont="1" applyFill="1" applyBorder="1" applyAlignment="1">
      <alignment horizontal="center" vertical="center" wrapText="1"/>
    </xf>
    <xf numFmtId="0" fontId="5" fillId="2" borderId="1" xfId="47" applyFont="1" applyFill="1" applyBorder="1" applyAlignment="1">
      <alignment horizontal="center" vertical="center"/>
    </xf>
    <xf numFmtId="0" fontId="5" fillId="2" borderId="7" xfId="82" applyFont="1" applyFill="1" applyBorder="1" applyAlignment="1">
      <alignment horizontal="center" vertical="center"/>
    </xf>
    <xf numFmtId="0" fontId="3" fillId="0" borderId="22" xfId="47" applyFont="1" applyBorder="1" applyAlignment="1">
      <alignment horizontal="left" vertical="center" wrapText="1"/>
    </xf>
    <xf numFmtId="0" fontId="3" fillId="0" borderId="0" xfId="47" applyFont="1" applyAlignment="1">
      <alignment horizontal="left" vertical="top" wrapText="1"/>
    </xf>
    <xf numFmtId="0" fontId="3" fillId="0" borderId="0" xfId="47" applyFont="1" applyAlignment="1">
      <alignment horizontal="left" vertical="center" wrapText="1"/>
    </xf>
    <xf numFmtId="0" fontId="3" fillId="0" borderId="23" xfId="47" applyFont="1" applyBorder="1" applyAlignment="1">
      <alignment horizontal="left" vertical="center" wrapText="1"/>
    </xf>
    <xf numFmtId="0" fontId="8" fillId="0" borderId="19" xfId="47" applyFont="1" applyBorder="1" applyAlignment="1">
      <alignment horizontal="center" vertical="center" wrapText="1"/>
    </xf>
    <xf numFmtId="0" fontId="8" fillId="0" borderId="20" xfId="47" applyFont="1" applyBorder="1" applyAlignment="1">
      <alignment horizontal="center" vertical="center"/>
    </xf>
    <xf numFmtId="0" fontId="8" fillId="0" borderId="21" xfId="47" applyFont="1" applyBorder="1" applyAlignment="1">
      <alignment horizontal="center" vertical="center"/>
    </xf>
    <xf numFmtId="0" fontId="3" fillId="0" borderId="0" xfId="47" applyFont="1" applyAlignment="1">
      <alignment horizontal="right" vertical="center"/>
    </xf>
    <xf numFmtId="0" fontId="3" fillId="0" borderId="23" xfId="47" applyFont="1" applyBorder="1" applyAlignment="1">
      <alignment horizontal="right" vertical="center"/>
    </xf>
    <xf numFmtId="0" fontId="5" fillId="2" borderId="36" xfId="47" applyFont="1" applyFill="1" applyBorder="1" applyAlignment="1">
      <alignment horizontal="center" vertical="center" wrapText="1"/>
    </xf>
    <xf numFmtId="0" fontId="5" fillId="2" borderId="1" xfId="47" applyFont="1" applyFill="1" applyBorder="1" applyAlignment="1">
      <alignment horizontal="center" vertical="top" wrapText="1"/>
    </xf>
    <xf numFmtId="0" fontId="5" fillId="2" borderId="24" xfId="47" applyFont="1" applyFill="1" applyBorder="1" applyAlignment="1">
      <alignment horizontal="center" vertical="center" wrapText="1"/>
    </xf>
    <xf numFmtId="0" fontId="5" fillId="2" borderId="44" xfId="47" applyFont="1" applyFill="1" applyBorder="1" applyAlignment="1">
      <alignment horizontal="center" vertical="center" wrapText="1"/>
    </xf>
    <xf numFmtId="0" fontId="5" fillId="2" borderId="46" xfId="47" applyFont="1" applyFill="1" applyBorder="1" applyAlignment="1">
      <alignment horizontal="center" vertical="center" wrapText="1"/>
    </xf>
    <xf numFmtId="0" fontId="3" fillId="0" borderId="22" xfId="0" applyFont="1" applyBorder="1" applyAlignment="1">
      <alignment vertical="center" wrapText="1"/>
    </xf>
    <xf numFmtId="0" fontId="3" fillId="0" borderId="0" xfId="0" applyFont="1" applyAlignment="1">
      <alignment vertical="center" wrapText="1"/>
    </xf>
    <xf numFmtId="0" fontId="3" fillId="0" borderId="23" xfId="0" applyFont="1" applyBorder="1" applyAlignment="1">
      <alignment vertical="center" wrapText="1"/>
    </xf>
    <xf numFmtId="0" fontId="3" fillId="0" borderId="22" xfId="0" applyFont="1" applyBorder="1" applyAlignment="1">
      <alignment vertical="center"/>
    </xf>
    <xf numFmtId="0" fontId="3" fillId="0" borderId="0" xfId="0" applyFont="1" applyAlignment="1">
      <alignment vertical="center"/>
    </xf>
    <xf numFmtId="0" fontId="3" fillId="0" borderId="23" xfId="0" applyFont="1" applyBorder="1" applyAlignment="1">
      <alignment vertical="center"/>
    </xf>
    <xf numFmtId="0" fontId="8" fillId="0" borderId="20" xfId="47" applyFont="1" applyBorder="1" applyAlignment="1">
      <alignment horizontal="center" vertical="center" wrapText="1"/>
    </xf>
    <xf numFmtId="0" fontId="8" fillId="0" borderId="21" xfId="47" applyFont="1" applyBorder="1" applyAlignment="1">
      <alignment horizontal="center" vertical="center" wrapText="1"/>
    </xf>
    <xf numFmtId="0" fontId="5" fillId="0" borderId="38" xfId="47" applyFont="1" applyBorder="1" applyAlignment="1">
      <alignment horizontal="right" vertical="center"/>
    </xf>
    <xf numFmtId="0" fontId="5" fillId="0" borderId="5" xfId="47" applyFont="1" applyBorder="1" applyAlignment="1">
      <alignment horizontal="right" vertical="center"/>
    </xf>
    <xf numFmtId="0" fontId="5" fillId="0" borderId="39" xfId="47" applyFont="1" applyBorder="1" applyAlignment="1">
      <alignment horizontal="right" vertical="center"/>
    </xf>
    <xf numFmtId="0" fontId="5" fillId="2" borderId="3" xfId="47" applyFont="1" applyFill="1" applyBorder="1" applyAlignment="1">
      <alignment horizontal="center" vertical="center" wrapText="1"/>
    </xf>
    <xf numFmtId="0" fontId="5" fillId="2" borderId="6" xfId="47" applyFont="1" applyFill="1" applyBorder="1" applyAlignment="1">
      <alignment horizontal="center" vertical="center" wrapText="1"/>
    </xf>
    <xf numFmtId="0" fontId="3" fillId="0" borderId="0" xfId="83" applyFont="1" applyAlignment="1">
      <alignment horizontal="left" vertical="center" wrapText="1"/>
    </xf>
    <xf numFmtId="0" fontId="3" fillId="0" borderId="22" xfId="83" applyFont="1" applyBorder="1" applyAlignment="1">
      <alignment horizontal="left" vertical="center" wrapText="1"/>
    </xf>
    <xf numFmtId="0" fontId="3" fillId="0" borderId="23" xfId="83" applyFont="1" applyBorder="1" applyAlignment="1">
      <alignment horizontal="left" vertical="center" wrapText="1"/>
    </xf>
    <xf numFmtId="0" fontId="3" fillId="0" borderId="33" xfId="83" applyFont="1" applyBorder="1" applyAlignment="1">
      <alignment horizontal="left" vertical="center" wrapText="1"/>
    </xf>
    <xf numFmtId="0" fontId="3" fillId="0" borderId="34" xfId="83" applyFont="1" applyBorder="1" applyAlignment="1">
      <alignment horizontal="left" vertical="center" wrapText="1"/>
    </xf>
    <xf numFmtId="0" fontId="3" fillId="0" borderId="35" xfId="83" applyFont="1" applyBorder="1" applyAlignment="1">
      <alignment horizontal="left" vertical="center" wrapText="1"/>
    </xf>
    <xf numFmtId="0" fontId="8" fillId="0" borderId="19" xfId="83" applyFont="1" applyBorder="1" applyAlignment="1">
      <alignment horizontal="center" vertical="center" wrapText="1"/>
    </xf>
    <xf numFmtId="0" fontId="8" fillId="0" borderId="20" xfId="83" applyFont="1" applyBorder="1" applyAlignment="1">
      <alignment horizontal="center" vertical="center" wrapText="1"/>
    </xf>
    <xf numFmtId="0" fontId="8" fillId="0" borderId="21" xfId="83" applyFont="1" applyBorder="1" applyAlignment="1">
      <alignment horizontal="center" vertical="center" wrapText="1"/>
    </xf>
    <xf numFmtId="0" fontId="8" fillId="0" borderId="22" xfId="83" applyFont="1" applyBorder="1" applyAlignment="1">
      <alignment horizontal="center" vertical="center" wrapText="1"/>
    </xf>
    <xf numFmtId="0" fontId="8" fillId="0" borderId="0" xfId="83" applyFont="1" applyAlignment="1">
      <alignment horizontal="center" vertical="center" wrapText="1"/>
    </xf>
    <xf numFmtId="0" fontId="8" fillId="0" borderId="23" xfId="83" applyFont="1" applyBorder="1" applyAlignment="1">
      <alignment horizontal="center" vertical="center" wrapText="1"/>
    </xf>
    <xf numFmtId="0" fontId="5" fillId="0" borderId="22" xfId="83" applyFont="1" applyBorder="1" applyAlignment="1">
      <alignment horizontal="right" vertical="center"/>
    </xf>
    <xf numFmtId="0" fontId="5" fillId="0" borderId="0" xfId="83" applyFont="1" applyAlignment="1">
      <alignment horizontal="right" vertical="center"/>
    </xf>
    <xf numFmtId="0" fontId="26" fillId="0" borderId="0" xfId="83" applyFont="1" applyAlignment="1">
      <alignment horizontal="right" vertical="center"/>
    </xf>
    <xf numFmtId="0" fontId="26" fillId="0" borderId="23" xfId="83" applyFont="1" applyBorder="1" applyAlignment="1">
      <alignment horizontal="right" vertical="center"/>
    </xf>
    <xf numFmtId="0" fontId="5" fillId="0" borderId="0" xfId="83" applyFont="1" applyAlignment="1">
      <alignment horizontal="center" vertical="top" wrapText="1"/>
    </xf>
    <xf numFmtId="0" fontId="3" fillId="0" borderId="33" xfId="84" applyFont="1" applyBorder="1" applyAlignment="1">
      <alignment horizontal="left" vertical="center" wrapText="1"/>
    </xf>
    <xf numFmtId="0" fontId="3" fillId="0" borderId="34" xfId="84" applyFont="1" applyBorder="1" applyAlignment="1">
      <alignment horizontal="left" vertical="center" wrapText="1"/>
    </xf>
    <xf numFmtId="0" fontId="3" fillId="0" borderId="35" xfId="84" applyFont="1" applyBorder="1" applyAlignment="1">
      <alignment horizontal="left" vertical="center" wrapText="1"/>
    </xf>
    <xf numFmtId="0" fontId="8" fillId="0" borderId="19" xfId="84" applyFont="1" applyBorder="1" applyAlignment="1">
      <alignment horizontal="center" vertical="center"/>
    </xf>
    <xf numFmtId="0" fontId="8" fillId="0" borderId="20" xfId="84" applyFont="1" applyBorder="1" applyAlignment="1">
      <alignment horizontal="center" vertical="center"/>
    </xf>
    <xf numFmtId="0" fontId="8" fillId="0" borderId="21" xfId="84" applyFont="1" applyBorder="1" applyAlignment="1">
      <alignment horizontal="center" vertical="center"/>
    </xf>
    <xf numFmtId="0" fontId="8" fillId="0" borderId="22" xfId="84" applyFont="1" applyBorder="1" applyAlignment="1">
      <alignment horizontal="center" vertical="center"/>
    </xf>
    <xf numFmtId="0" fontId="8" fillId="0" borderId="0" xfId="84" applyFont="1" applyAlignment="1">
      <alignment horizontal="center" vertical="center"/>
    </xf>
    <xf numFmtId="0" fontId="8" fillId="0" borderId="23" xfId="84" applyFont="1" applyBorder="1" applyAlignment="1">
      <alignment horizontal="center" vertical="center"/>
    </xf>
    <xf numFmtId="0" fontId="7" fillId="0" borderId="22" xfId="84" applyFont="1" applyBorder="1" applyAlignment="1">
      <alignment horizontal="right" vertical="center"/>
    </xf>
    <xf numFmtId="0" fontId="7" fillId="0" borderId="0" xfId="84" applyFont="1" applyAlignment="1">
      <alignment horizontal="right" vertical="center"/>
    </xf>
    <xf numFmtId="0" fontId="7" fillId="0" borderId="23" xfId="84" applyFont="1" applyBorder="1" applyAlignment="1">
      <alignment horizontal="right" vertical="center"/>
    </xf>
    <xf numFmtId="0" fontId="5" fillId="2" borderId="36" xfId="84" applyFont="1" applyFill="1" applyBorder="1" applyAlignment="1">
      <alignment horizontal="center" vertical="top" wrapText="1"/>
    </xf>
    <xf numFmtId="0" fontId="5" fillId="2" borderId="1" xfId="84" applyFont="1" applyFill="1" applyBorder="1" applyAlignment="1">
      <alignment horizontal="center" vertical="top" wrapText="1"/>
    </xf>
    <xf numFmtId="0" fontId="5" fillId="2" borderId="24" xfId="84" applyFont="1" applyFill="1" applyBorder="1" applyAlignment="1">
      <alignment horizontal="center" vertical="top" wrapText="1"/>
    </xf>
    <xf numFmtId="0" fontId="8" fillId="0" borderId="19" xfId="85" applyFont="1" applyBorder="1" applyAlignment="1">
      <alignment horizontal="center" vertical="center"/>
    </xf>
    <xf numFmtId="0" fontId="8" fillId="0" borderId="20" xfId="85" applyFont="1" applyBorder="1" applyAlignment="1">
      <alignment horizontal="center" vertical="center"/>
    </xf>
    <xf numFmtId="0" fontId="8" fillId="0" borderId="21" xfId="85" applyFont="1" applyBorder="1" applyAlignment="1">
      <alignment horizontal="center" vertical="center"/>
    </xf>
    <xf numFmtId="0" fontId="8" fillId="0" borderId="22" xfId="85" applyFont="1" applyBorder="1" applyAlignment="1">
      <alignment horizontal="center" vertical="center" wrapText="1"/>
    </xf>
    <xf numFmtId="0" fontId="8" fillId="0" borderId="0" xfId="85" applyFont="1" applyAlignment="1">
      <alignment horizontal="center" vertical="center" wrapText="1"/>
    </xf>
    <xf numFmtId="0" fontId="8" fillId="0" borderId="23" xfId="85" applyFont="1" applyBorder="1" applyAlignment="1">
      <alignment horizontal="center" vertical="center" wrapText="1"/>
    </xf>
    <xf numFmtId="0" fontId="5" fillId="0" borderId="0" xfId="85" applyFont="1" applyAlignment="1">
      <alignment horizontal="right" vertical="center" wrapText="1"/>
    </xf>
    <xf numFmtId="0" fontId="5" fillId="0" borderId="23" xfId="85" applyFont="1" applyBorder="1" applyAlignment="1">
      <alignment horizontal="right" vertical="center" wrapText="1"/>
    </xf>
    <xf numFmtId="0" fontId="5" fillId="2" borderId="36" xfId="85" applyFont="1" applyFill="1" applyBorder="1" applyAlignment="1">
      <alignment horizontal="center" vertical="center" wrapText="1"/>
    </xf>
    <xf numFmtId="0" fontId="5" fillId="2" borderId="1" xfId="85" applyFont="1" applyFill="1" applyBorder="1" applyAlignment="1">
      <alignment horizontal="center" vertical="center" wrapText="1"/>
    </xf>
    <xf numFmtId="0" fontId="5" fillId="2" borderId="24" xfId="85" applyFont="1" applyFill="1" applyBorder="1" applyAlignment="1">
      <alignment horizontal="center" vertical="center" wrapText="1"/>
    </xf>
    <xf numFmtId="0" fontId="5" fillId="2" borderId="1" xfId="85" applyFont="1" applyFill="1" applyBorder="1" applyAlignment="1">
      <alignment horizontal="center" vertical="top" wrapText="1"/>
    </xf>
    <xf numFmtId="2" fontId="5" fillId="0" borderId="1" xfId="5" applyNumberFormat="1" applyFont="1" applyBorder="1" applyAlignment="1">
      <alignment horizontal="right" vertical="center" wrapText="1"/>
    </xf>
    <xf numFmtId="0" fontId="3" fillId="0" borderId="0" xfId="85" applyFont="1" applyAlignment="1">
      <alignment horizontal="left"/>
    </xf>
    <xf numFmtId="0" fontId="8" fillId="0" borderId="19" xfId="85" applyFont="1" applyBorder="1" applyAlignment="1">
      <alignment horizontal="center" vertical="center" wrapText="1"/>
    </xf>
    <xf numFmtId="0" fontId="8" fillId="0" borderId="20" xfId="85" applyFont="1" applyBorder="1" applyAlignment="1">
      <alignment horizontal="center" vertical="center" wrapText="1"/>
    </xf>
    <xf numFmtId="0" fontId="8" fillId="0" borderId="21" xfId="85" applyFont="1" applyBorder="1" applyAlignment="1">
      <alignment horizontal="center" vertical="center" wrapText="1"/>
    </xf>
    <xf numFmtId="0" fontId="5" fillId="0" borderId="0" xfId="85" applyFont="1" applyAlignment="1">
      <alignment horizontal="right" vertical="center"/>
    </xf>
    <xf numFmtId="0" fontId="5" fillId="0" borderId="5" xfId="85" applyFont="1" applyBorder="1" applyAlignment="1">
      <alignment horizontal="right" vertical="center"/>
    </xf>
    <xf numFmtId="0" fontId="5" fillId="0" borderId="23" xfId="85" applyFont="1" applyBorder="1" applyAlignment="1">
      <alignment horizontal="right" vertical="center"/>
    </xf>
    <xf numFmtId="0" fontId="5" fillId="0" borderId="22" xfId="56" applyFont="1" applyBorder="1" applyAlignment="1">
      <alignment horizontal="right" vertical="center"/>
    </xf>
    <xf numFmtId="0" fontId="5" fillId="0" borderId="0" xfId="56" applyFont="1" applyAlignment="1">
      <alignment horizontal="right" vertical="center"/>
    </xf>
    <xf numFmtId="0" fontId="5" fillId="0" borderId="23" xfId="56" applyFont="1" applyBorder="1" applyAlignment="1">
      <alignment horizontal="right" vertical="center"/>
    </xf>
    <xf numFmtId="0" fontId="3" fillId="0" borderId="22" xfId="56" applyFont="1" applyBorder="1" applyAlignment="1">
      <alignment horizontal="left" wrapText="1"/>
    </xf>
    <xf numFmtId="0" fontId="3" fillId="0" borderId="0" xfId="56" applyFont="1" applyAlignment="1">
      <alignment horizontal="left" wrapText="1"/>
    </xf>
    <xf numFmtId="0" fontId="3" fillId="0" borderId="23" xfId="56" applyFont="1" applyBorder="1" applyAlignment="1">
      <alignment horizontal="left" wrapText="1"/>
    </xf>
    <xf numFmtId="0" fontId="5" fillId="0" borderId="22" xfId="56" applyFont="1" applyBorder="1" applyAlignment="1">
      <alignment horizontal="left" vertical="top"/>
    </xf>
    <xf numFmtId="0" fontId="3" fillId="0" borderId="0" xfId="56" applyFont="1" applyAlignment="1">
      <alignment horizontal="left" vertical="top"/>
    </xf>
    <xf numFmtId="0" fontId="3" fillId="0" borderId="23" xfId="56" applyFont="1" applyBorder="1" applyAlignment="1">
      <alignment horizontal="left" vertical="top"/>
    </xf>
    <xf numFmtId="0" fontId="8" fillId="0" borderId="22" xfId="56" applyFont="1" applyBorder="1" applyAlignment="1">
      <alignment horizontal="center" vertical="center" wrapText="1"/>
    </xf>
    <xf numFmtId="0" fontId="8" fillId="0" borderId="0" xfId="56" applyFont="1" applyAlignment="1">
      <alignment horizontal="center" vertical="center" wrapText="1"/>
    </xf>
    <xf numFmtId="0" fontId="8" fillId="0" borderId="23" xfId="56" applyFont="1" applyBorder="1" applyAlignment="1">
      <alignment horizontal="center" vertical="center" wrapText="1"/>
    </xf>
    <xf numFmtId="0" fontId="8" fillId="0" borderId="19" xfId="56" applyFont="1" applyBorder="1" applyAlignment="1">
      <alignment horizontal="center" vertical="center" wrapText="1"/>
    </xf>
    <xf numFmtId="0" fontId="8" fillId="0" borderId="20" xfId="56" applyFont="1" applyBorder="1" applyAlignment="1">
      <alignment horizontal="center" vertical="center" wrapText="1"/>
    </xf>
    <xf numFmtId="0" fontId="8" fillId="0" borderId="21" xfId="56" applyFont="1" applyBorder="1" applyAlignment="1">
      <alignment horizontal="center" vertical="center" wrapText="1"/>
    </xf>
    <xf numFmtId="0" fontId="5" fillId="2" borderId="24" xfId="56" applyFont="1" applyFill="1" applyBorder="1" applyAlignment="1">
      <alignment horizontal="center" vertical="center"/>
    </xf>
    <xf numFmtId="0" fontId="5" fillId="2" borderId="1" xfId="56" applyFont="1" applyFill="1" applyBorder="1" applyAlignment="1">
      <alignment horizontal="center" vertical="top" wrapText="1"/>
    </xf>
    <xf numFmtId="0" fontId="5" fillId="2" borderId="1" xfId="56" applyFont="1" applyFill="1" applyBorder="1" applyAlignment="1">
      <alignment horizontal="center" vertical="top"/>
    </xf>
    <xf numFmtId="0" fontId="5" fillId="2" borderId="1" xfId="56" applyFont="1" applyFill="1" applyBorder="1" applyAlignment="1">
      <alignment horizontal="center" vertical="center" wrapText="1"/>
    </xf>
    <xf numFmtId="0" fontId="5" fillId="2" borderId="1" xfId="56" applyFont="1" applyFill="1" applyBorder="1" applyAlignment="1">
      <alignment horizontal="center" vertical="center"/>
    </xf>
    <xf numFmtId="0" fontId="5" fillId="2" borderId="36" xfId="56" applyFont="1" applyFill="1" applyBorder="1" applyAlignment="1">
      <alignment horizontal="center" vertical="center"/>
    </xf>
    <xf numFmtId="0" fontId="3" fillId="0" borderId="53" xfId="56" applyFont="1" applyBorder="1" applyAlignment="1">
      <alignment horizontal="left" vertical="top" wrapText="1"/>
    </xf>
    <xf numFmtId="0" fontId="3" fillId="0" borderId="16" xfId="56" applyFont="1" applyBorder="1" applyAlignment="1">
      <alignment horizontal="left" vertical="top" wrapText="1"/>
    </xf>
    <xf numFmtId="0" fontId="3" fillId="0" borderId="54" xfId="56" applyFont="1" applyBorder="1" applyAlignment="1">
      <alignment horizontal="left" vertical="top" wrapText="1"/>
    </xf>
    <xf numFmtId="0" fontId="5" fillId="0" borderId="0" xfId="56" applyFont="1" applyAlignment="1">
      <alignment horizontal="left" vertical="top"/>
    </xf>
    <xf numFmtId="0" fontId="5" fillId="0" borderId="23" xfId="56" applyFont="1" applyBorder="1" applyAlignment="1">
      <alignment horizontal="left" vertical="top"/>
    </xf>
    <xf numFmtId="0" fontId="5" fillId="0" borderId="38" xfId="56" applyFont="1" applyBorder="1" applyAlignment="1">
      <alignment horizontal="right" vertical="center"/>
    </xf>
    <xf numFmtId="0" fontId="5" fillId="0" borderId="5" xfId="56" applyFont="1" applyBorder="1" applyAlignment="1">
      <alignment horizontal="right" vertical="center"/>
    </xf>
    <xf numFmtId="0" fontId="5" fillId="0" borderId="39" xfId="56" applyFont="1" applyBorder="1" applyAlignment="1">
      <alignment horizontal="right" vertical="center"/>
    </xf>
    <xf numFmtId="0" fontId="63" fillId="0" borderId="1" xfId="56" applyFont="1" applyBorder="1" applyAlignment="1">
      <alignment horizontal="center" vertical="top"/>
    </xf>
    <xf numFmtId="0" fontId="3" fillId="0" borderId="22" xfId="56" applyFont="1" applyBorder="1" applyAlignment="1">
      <alignment horizontal="left" vertical="top" wrapText="1"/>
    </xf>
    <xf numFmtId="0" fontId="3" fillId="0" borderId="0" xfId="56" applyFont="1" applyAlignment="1">
      <alignment horizontal="left" vertical="top" wrapText="1"/>
    </xf>
    <xf numFmtId="0" fontId="3" fillId="0" borderId="23" xfId="56" applyFont="1" applyBorder="1" applyAlignment="1">
      <alignment horizontal="left" vertical="top" wrapText="1"/>
    </xf>
    <xf numFmtId="0" fontId="8" fillId="0" borderId="19" xfId="56" applyFont="1" applyBorder="1" applyAlignment="1">
      <alignment horizontal="center" vertical="top" wrapText="1"/>
    </xf>
    <xf numFmtId="0" fontId="8" fillId="0" borderId="20" xfId="56" applyFont="1" applyBorder="1" applyAlignment="1">
      <alignment horizontal="center" vertical="top" wrapText="1"/>
    </xf>
    <xf numFmtId="0" fontId="8" fillId="0" borderId="21" xfId="56" applyFont="1" applyBorder="1" applyAlignment="1">
      <alignment horizontal="center" vertical="top" wrapText="1"/>
    </xf>
    <xf numFmtId="0" fontId="8" fillId="0" borderId="22" xfId="56" applyFont="1" applyBorder="1" applyAlignment="1">
      <alignment horizontal="center" vertical="top" wrapText="1"/>
    </xf>
    <xf numFmtId="0" fontId="8" fillId="0" borderId="0" xfId="56" applyFont="1" applyAlignment="1">
      <alignment horizontal="center" vertical="top" wrapText="1"/>
    </xf>
    <xf numFmtId="0" fontId="8" fillId="0" borderId="23" xfId="56" applyFont="1" applyBorder="1" applyAlignment="1">
      <alignment horizontal="center" vertical="top" wrapText="1"/>
    </xf>
    <xf numFmtId="0" fontId="5" fillId="0" borderId="22" xfId="56" applyFont="1" applyBorder="1" applyAlignment="1">
      <alignment horizontal="right" vertical="top"/>
    </xf>
    <xf numFmtId="0" fontId="5" fillId="0" borderId="0" xfId="56" applyFont="1" applyAlignment="1">
      <alignment horizontal="right" vertical="top"/>
    </xf>
    <xf numFmtId="0" fontId="5" fillId="0" borderId="23" xfId="56" applyFont="1" applyBorder="1" applyAlignment="1">
      <alignment horizontal="right" vertical="top"/>
    </xf>
    <xf numFmtId="0" fontId="64" fillId="0" borderId="19" xfId="0" applyFont="1" applyBorder="1" applyAlignment="1">
      <alignment horizontal="center" vertical="center"/>
    </xf>
    <xf numFmtId="0" fontId="64" fillId="0" borderId="20" xfId="0" applyFont="1" applyBorder="1" applyAlignment="1">
      <alignment horizontal="center" vertical="center"/>
    </xf>
    <xf numFmtId="0" fontId="64" fillId="0" borderId="21" xfId="0" applyFont="1" applyBorder="1" applyAlignment="1">
      <alignment horizontal="center" vertical="center"/>
    </xf>
    <xf numFmtId="0" fontId="12" fillId="0" borderId="5" xfId="0" applyFont="1" applyBorder="1" applyAlignment="1">
      <alignment horizontal="center" vertical="center"/>
    </xf>
    <xf numFmtId="0" fontId="5" fillId="0" borderId="0" xfId="0" applyFont="1" applyAlignment="1">
      <alignment horizontal="center" vertical="center"/>
    </xf>
    <xf numFmtId="0" fontId="12" fillId="0" borderId="33" xfId="0" quotePrefix="1" applyFont="1" applyBorder="1" applyAlignment="1">
      <alignment horizontal="left" vertical="top" wrapText="1"/>
    </xf>
    <xf numFmtId="0" fontId="12" fillId="0" borderId="34" xfId="0" quotePrefix="1" applyFont="1" applyBorder="1" applyAlignment="1">
      <alignment horizontal="left" vertical="top" wrapText="1"/>
    </xf>
    <xf numFmtId="0" fontId="12" fillId="0" borderId="35" xfId="0" quotePrefix="1" applyFont="1" applyBorder="1" applyAlignment="1">
      <alignment horizontal="left" vertical="top" wrapText="1"/>
    </xf>
    <xf numFmtId="0" fontId="3" fillId="0" borderId="0" xfId="0" applyFont="1" applyAlignment="1">
      <alignment horizontal="left" vertical="center" wrapText="1"/>
    </xf>
    <xf numFmtId="0" fontId="3" fillId="0" borderId="5" xfId="0" applyFont="1" applyBorder="1" applyAlignment="1">
      <alignment horizontal="center" vertical="center"/>
    </xf>
    <xf numFmtId="0" fontId="5" fillId="2" borderId="1" xfId="0" applyFont="1" applyFill="1" applyBorder="1" applyAlignment="1">
      <alignment horizontal="center" vertical="top" wrapText="1"/>
    </xf>
    <xf numFmtId="0" fontId="3" fillId="2" borderId="1" xfId="0" applyFont="1" applyFill="1" applyBorder="1" applyAlignment="1">
      <alignment horizontal="center" vertical="top" wrapText="1"/>
    </xf>
    <xf numFmtId="0" fontId="3" fillId="2" borderId="1" xfId="0" applyFont="1" applyFill="1" applyBorder="1" applyAlignment="1">
      <alignment vertical="center"/>
    </xf>
    <xf numFmtId="0" fontId="3" fillId="2" borderId="1" xfId="0" applyFont="1" applyFill="1" applyBorder="1" applyAlignment="1">
      <alignment horizontal="center" vertical="center" wrapText="1"/>
    </xf>
    <xf numFmtId="166" fontId="5" fillId="2" borderId="1" xfId="0" applyNumberFormat="1" applyFont="1" applyFill="1" applyBorder="1" applyAlignment="1">
      <alignment horizontal="center" vertical="top" wrapText="1"/>
    </xf>
    <xf numFmtId="166" fontId="3" fillId="2" borderId="1" xfId="0" applyNumberFormat="1" applyFont="1" applyFill="1" applyBorder="1" applyAlignment="1">
      <alignment horizontal="center" vertical="top" wrapText="1"/>
    </xf>
    <xf numFmtId="0" fontId="8" fillId="0" borderId="0" xfId="0" applyFont="1" applyAlignment="1">
      <alignment horizontal="center" vertical="center" wrapText="1"/>
    </xf>
    <xf numFmtId="0" fontId="8" fillId="0" borderId="0" xfId="0" applyFont="1" applyAlignment="1">
      <alignment horizontal="center" vertical="center"/>
    </xf>
    <xf numFmtId="0" fontId="67" fillId="0" borderId="0" xfId="0" applyFont="1" applyBorder="1" applyAlignment="1">
      <alignment horizontal="center" vertical="center" wrapText="1"/>
    </xf>
    <xf numFmtId="0" fontId="67" fillId="0" borderId="0" xfId="0" applyFont="1" applyBorder="1" applyAlignment="1">
      <alignment horizontal="center" vertical="center"/>
    </xf>
    <xf numFmtId="0" fontId="3" fillId="0" borderId="0" xfId="0" applyFont="1" applyBorder="1" applyAlignment="1">
      <alignment horizontal="left" vertical="center" wrapText="1"/>
    </xf>
    <xf numFmtId="0" fontId="64" fillId="2" borderId="1" xfId="0" applyFont="1" applyFill="1" applyBorder="1" applyAlignment="1">
      <alignment horizontal="center" vertical="center" wrapText="1"/>
    </xf>
    <xf numFmtId="0" fontId="64" fillId="2" borderId="24" xfId="0" applyFont="1" applyFill="1" applyBorder="1" applyAlignment="1">
      <alignment horizontal="center" vertical="center" wrapText="1"/>
    </xf>
    <xf numFmtId="0" fontId="12" fillId="2" borderId="24" xfId="0" applyFont="1" applyFill="1" applyBorder="1" applyAlignment="1">
      <alignment vertical="center"/>
    </xf>
    <xf numFmtId="0" fontId="64" fillId="0" borderId="22" xfId="0" applyFont="1" applyBorder="1" applyAlignment="1">
      <alignment horizontal="center" vertical="center"/>
    </xf>
    <xf numFmtId="0" fontId="64" fillId="0" borderId="0" xfId="0" applyFont="1" applyBorder="1" applyAlignment="1">
      <alignment horizontal="center" vertical="center"/>
    </xf>
    <xf numFmtId="0" fontId="64" fillId="0" borderId="23" xfId="0" applyFont="1" applyBorder="1" applyAlignment="1">
      <alignment horizontal="center" vertical="center"/>
    </xf>
    <xf numFmtId="0" fontId="64" fillId="2" borderId="1" xfId="0" applyFont="1" applyFill="1" applyBorder="1" applyAlignment="1">
      <alignment horizontal="center" vertical="top" wrapText="1"/>
    </xf>
    <xf numFmtId="0" fontId="12" fillId="2" borderId="1" xfId="0" applyFont="1" applyFill="1" applyBorder="1" applyAlignment="1">
      <alignment horizontal="center" vertical="top" wrapText="1"/>
    </xf>
    <xf numFmtId="0" fontId="64" fillId="2" borderId="36" xfId="0" applyFont="1" applyFill="1" applyBorder="1" applyAlignment="1">
      <alignment horizontal="center" vertical="center" wrapText="1"/>
    </xf>
    <xf numFmtId="0" fontId="12" fillId="2" borderId="36" xfId="0" applyFont="1" applyFill="1" applyBorder="1" applyAlignment="1">
      <alignment vertical="center"/>
    </xf>
    <xf numFmtId="0" fontId="64" fillId="2" borderId="2" xfId="0" applyFont="1" applyFill="1" applyBorder="1" applyAlignment="1">
      <alignment horizontal="center" vertical="center" wrapText="1"/>
    </xf>
    <xf numFmtId="0" fontId="12" fillId="2" borderId="2" xfId="0" applyFont="1" applyFill="1" applyBorder="1" applyAlignment="1">
      <alignment vertical="center"/>
    </xf>
    <xf numFmtId="166" fontId="64" fillId="2" borderId="1" xfId="0" applyNumberFormat="1" applyFont="1" applyFill="1" applyBorder="1" applyAlignment="1">
      <alignment horizontal="center" vertical="top" wrapText="1"/>
    </xf>
    <xf numFmtId="166" fontId="12" fillId="2" borderId="1" xfId="0" applyNumberFormat="1" applyFont="1" applyFill="1" applyBorder="1" applyAlignment="1">
      <alignment horizontal="center" vertical="top" wrapText="1"/>
    </xf>
    <xf numFmtId="0" fontId="12" fillId="2" borderId="1" xfId="0" applyFont="1" applyFill="1" applyBorder="1" applyAlignment="1">
      <alignment vertical="center"/>
    </xf>
    <xf numFmtId="166" fontId="5" fillId="2" borderId="1" xfId="0" applyNumberFormat="1" applyFont="1" applyFill="1" applyBorder="1" applyAlignment="1">
      <alignment horizontal="center" vertical="center" wrapText="1"/>
    </xf>
    <xf numFmtId="166" fontId="3" fillId="2" borderId="1" xfId="0" applyNumberFormat="1" applyFont="1" applyFill="1" applyBorder="1" applyAlignment="1">
      <alignment horizontal="center" vertical="center" wrapText="1"/>
    </xf>
    <xf numFmtId="0" fontId="7" fillId="0" borderId="5" xfId="0" applyFont="1" applyBorder="1" applyAlignment="1">
      <alignment horizontal="center" vertical="center"/>
    </xf>
    <xf numFmtId="0" fontId="3" fillId="0" borderId="22" xfId="0" applyFont="1" applyBorder="1" applyAlignment="1">
      <alignment horizontal="left" vertical="center" wrapText="1"/>
    </xf>
    <xf numFmtId="0" fontId="3" fillId="0" borderId="23" xfId="0" applyFont="1" applyBorder="1" applyAlignment="1">
      <alignment horizontal="left" vertical="center" wrapText="1"/>
    </xf>
    <xf numFmtId="0" fontId="3" fillId="0" borderId="33" xfId="0" quotePrefix="1" applyFont="1" applyBorder="1" applyAlignment="1">
      <alignment horizontal="left" vertical="center" wrapText="1"/>
    </xf>
    <xf numFmtId="0" fontId="3" fillId="0" borderId="34" xfId="0" quotePrefix="1" applyFont="1" applyBorder="1" applyAlignment="1">
      <alignment horizontal="left" vertical="center" wrapText="1"/>
    </xf>
    <xf numFmtId="0" fontId="3" fillId="0" borderId="35" xfId="0" quotePrefix="1" applyFont="1" applyBorder="1" applyAlignment="1">
      <alignment horizontal="left" vertical="center" wrapText="1"/>
    </xf>
    <xf numFmtId="0" fontId="8" fillId="0" borderId="19" xfId="0" applyFont="1" applyBorder="1" applyAlignment="1">
      <alignment horizontal="center" vertical="center"/>
    </xf>
    <xf numFmtId="0" fontId="7" fillId="0" borderId="22" xfId="0" applyFont="1" applyBorder="1" applyAlignment="1">
      <alignment horizontal="right" vertical="center"/>
    </xf>
    <xf numFmtId="0" fontId="7" fillId="0" borderId="0" xfId="0" applyFont="1" applyAlignment="1">
      <alignment horizontal="right" vertical="center"/>
    </xf>
    <xf numFmtId="0" fontId="7" fillId="0" borderId="23" xfId="0" applyFont="1" applyBorder="1" applyAlignment="1">
      <alignment horizontal="right" vertical="center"/>
    </xf>
    <xf numFmtId="0" fontId="8" fillId="0" borderId="22" xfId="0" applyFont="1" applyBorder="1" applyAlignment="1">
      <alignment horizontal="center" vertical="center"/>
    </xf>
    <xf numFmtId="0" fontId="8" fillId="0" borderId="23" xfId="0" applyFont="1" applyBorder="1" applyAlignment="1">
      <alignment horizontal="center" vertical="center"/>
    </xf>
    <xf numFmtId="0" fontId="5" fillId="0" borderId="0" xfId="0" applyFont="1" applyAlignment="1">
      <alignment horizontal="right"/>
    </xf>
    <xf numFmtId="0" fontId="27" fillId="0" borderId="1" xfId="0" applyFont="1" applyBorder="1" applyAlignment="1">
      <alignment horizontal="center" vertical="top"/>
    </xf>
    <xf numFmtId="0" fontId="27" fillId="0" borderId="1" xfId="0" applyFont="1" applyBorder="1" applyAlignment="1">
      <alignment horizontal="center" vertical="top" wrapText="1"/>
    </xf>
    <xf numFmtId="0" fontId="8" fillId="0" borderId="19" xfId="0" applyFont="1" applyBorder="1" applyAlignment="1">
      <alignment horizontal="center" vertical="top" wrapText="1"/>
    </xf>
    <xf numFmtId="0" fontId="8" fillId="0" borderId="20" xfId="0" applyFont="1" applyBorder="1" applyAlignment="1">
      <alignment horizontal="center" vertical="top"/>
    </xf>
    <xf numFmtId="0" fontId="8" fillId="0" borderId="21" xfId="0" applyFont="1" applyBorder="1" applyAlignment="1">
      <alignment horizontal="center" vertical="top"/>
    </xf>
    <xf numFmtId="0" fontId="64" fillId="2" borderId="3" xfId="0" applyFont="1" applyFill="1" applyBorder="1" applyAlignment="1">
      <alignment horizontal="center" vertical="center" wrapText="1"/>
    </xf>
    <xf numFmtId="0" fontId="64" fillId="2" borderId="6" xfId="0" applyFont="1" applyFill="1" applyBorder="1" applyAlignment="1">
      <alignment horizontal="center" vertical="center" wrapText="1"/>
    </xf>
    <xf numFmtId="0" fontId="3" fillId="0" borderId="22" xfId="0" applyFont="1" applyBorder="1" applyAlignment="1">
      <alignment horizontal="right"/>
    </xf>
    <xf numFmtId="0" fontId="3" fillId="0" borderId="0" xfId="0" applyFont="1" applyAlignment="1">
      <alignment horizontal="right"/>
    </xf>
    <xf numFmtId="0" fontId="3" fillId="0" borderId="23" xfId="0" applyFont="1" applyBorder="1" applyAlignment="1">
      <alignment horizontal="right"/>
    </xf>
    <xf numFmtId="0" fontId="64" fillId="2" borderId="41" xfId="0" applyFont="1" applyFill="1" applyBorder="1" applyAlignment="1">
      <alignment horizontal="center" vertical="center" wrapText="1"/>
    </xf>
    <xf numFmtId="0" fontId="64" fillId="2" borderId="43" xfId="0" applyFont="1" applyFill="1" applyBorder="1" applyAlignment="1">
      <alignment horizontal="center" vertical="center" wrapText="1"/>
    </xf>
    <xf numFmtId="0" fontId="64" fillId="2" borderId="45" xfId="0" applyFont="1" applyFill="1" applyBorder="1" applyAlignment="1">
      <alignment horizontal="center" vertical="center" wrapText="1"/>
    </xf>
    <xf numFmtId="0" fontId="64" fillId="2" borderId="7" xfId="0" applyFont="1" applyFill="1" applyBorder="1" applyAlignment="1">
      <alignment horizontal="center" vertical="top" wrapText="1"/>
    </xf>
    <xf numFmtId="0" fontId="64" fillId="2" borderId="4" xfId="0" applyFont="1" applyFill="1" applyBorder="1" applyAlignment="1">
      <alignment horizontal="center" vertical="top" wrapText="1"/>
    </xf>
    <xf numFmtId="0" fontId="64" fillId="2" borderId="2" xfId="0" applyFont="1" applyFill="1" applyBorder="1" applyAlignment="1">
      <alignment horizontal="center" vertical="top" wrapText="1"/>
    </xf>
    <xf numFmtId="0" fontId="64" fillId="2" borderId="8" xfId="0" applyFont="1" applyFill="1" applyBorder="1" applyAlignment="1">
      <alignment horizontal="center" vertical="center" wrapText="1"/>
    </xf>
    <xf numFmtId="0" fontId="64" fillId="2" borderId="42" xfId="0" applyFont="1" applyFill="1" applyBorder="1" applyAlignment="1">
      <alignment horizontal="center" vertical="center" wrapText="1"/>
    </xf>
    <xf numFmtId="0" fontId="64" fillId="2" borderId="44" xfId="0" applyFont="1" applyFill="1" applyBorder="1" applyAlignment="1">
      <alignment horizontal="center" vertical="center" wrapText="1"/>
    </xf>
    <xf numFmtId="0" fontId="64" fillId="2" borderId="46"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4" xfId="0" applyFont="1" applyFill="1" applyBorder="1" applyAlignment="1">
      <alignment horizontal="center" vertical="center" wrapText="1"/>
    </xf>
    <xf numFmtId="0" fontId="5" fillId="0" borderId="5" xfId="0" applyFont="1" applyBorder="1" applyAlignment="1">
      <alignment horizontal="right" vertical="center"/>
    </xf>
    <xf numFmtId="0" fontId="3" fillId="0" borderId="5" xfId="0" applyFont="1" applyBorder="1" applyAlignment="1">
      <alignment horizontal="right" vertical="center"/>
    </xf>
    <xf numFmtId="0" fontId="3" fillId="0" borderId="39" xfId="0" applyFont="1" applyBorder="1" applyAlignment="1">
      <alignment horizontal="right" vertical="center"/>
    </xf>
    <xf numFmtId="0" fontId="5" fillId="0" borderId="1" xfId="0" applyFont="1" applyBorder="1" applyAlignment="1">
      <alignment vertical="center" wrapText="1"/>
    </xf>
    <xf numFmtId="0" fontId="8" fillId="0" borderId="22" xfId="0" applyFont="1" applyBorder="1" applyAlignment="1">
      <alignment horizontal="center" vertical="center" wrapText="1"/>
    </xf>
    <xf numFmtId="0" fontId="8" fillId="0" borderId="23" xfId="0" applyFont="1" applyBorder="1" applyAlignment="1">
      <alignment horizontal="center" vertical="center" wrapText="1"/>
    </xf>
    <xf numFmtId="0" fontId="68" fillId="0" borderId="19" xfId="0" applyFont="1" applyBorder="1" applyAlignment="1">
      <alignment horizontal="center" vertical="center" wrapText="1"/>
    </xf>
    <xf numFmtId="0" fontId="68" fillId="0" borderId="20" xfId="0" applyFont="1" applyBorder="1" applyAlignment="1">
      <alignment horizontal="center" vertical="center" wrapText="1"/>
    </xf>
    <xf numFmtId="0" fontId="68" fillId="0" borderId="21" xfId="0" applyFont="1" applyBorder="1" applyAlignment="1">
      <alignment horizontal="center" vertical="center" wrapText="1"/>
    </xf>
    <xf numFmtId="0" fontId="4" fillId="0" borderId="22" xfId="0" applyFont="1" applyBorder="1" applyAlignment="1">
      <alignment horizontal="right" vertical="center" wrapText="1"/>
    </xf>
    <xf numFmtId="0" fontId="4" fillId="0" borderId="0" xfId="0" applyFont="1" applyAlignment="1">
      <alignment horizontal="right" vertical="center" wrapText="1"/>
    </xf>
    <xf numFmtId="0" fontId="4" fillId="0" borderId="23" xfId="0" applyFont="1" applyBorder="1" applyAlignment="1">
      <alignment horizontal="right" vertical="center" wrapText="1"/>
    </xf>
    <xf numFmtId="0" fontId="5" fillId="0" borderId="38" xfId="0" applyFont="1" applyBorder="1" applyAlignment="1">
      <alignment horizontal="right" vertical="center"/>
    </xf>
    <xf numFmtId="0" fontId="5" fillId="0" borderId="39" xfId="0" applyFont="1" applyBorder="1" applyAlignment="1">
      <alignment horizontal="right" vertical="center"/>
    </xf>
    <xf numFmtId="0" fontId="3" fillId="0" borderId="53" xfId="0" applyFont="1" applyBorder="1" applyAlignment="1">
      <alignment horizontal="left" vertical="center" wrapText="1"/>
    </xf>
    <xf numFmtId="0" fontId="3" fillId="0" borderId="16" xfId="0" applyFont="1" applyBorder="1" applyAlignment="1">
      <alignment horizontal="left" vertical="center" wrapText="1"/>
    </xf>
    <xf numFmtId="0" fontId="3" fillId="0" borderId="54" xfId="0" applyFont="1" applyBorder="1" applyAlignment="1">
      <alignment horizontal="left" vertical="center" wrapText="1"/>
    </xf>
    <xf numFmtId="0" fontId="5" fillId="0" borderId="53" xfId="0" applyFont="1" applyBorder="1" applyAlignment="1">
      <alignment horizontal="center" vertical="center"/>
    </xf>
    <xf numFmtId="0" fontId="5" fillId="0" borderId="58" xfId="0" applyFont="1" applyBorder="1" applyAlignment="1">
      <alignment horizontal="center" vertical="center"/>
    </xf>
    <xf numFmtId="0" fontId="3" fillId="0" borderId="22" xfId="0" applyFont="1" applyBorder="1" applyAlignment="1">
      <alignment horizontal="left" vertical="top" wrapText="1"/>
    </xf>
    <xf numFmtId="0" fontId="3" fillId="0" borderId="0" xfId="0" applyFont="1" applyAlignment="1">
      <alignment horizontal="left" vertical="top" wrapText="1"/>
    </xf>
    <xf numFmtId="0" fontId="3" fillId="0" borderId="23" xfId="0" applyFont="1" applyBorder="1" applyAlignment="1">
      <alignment horizontal="left" vertical="top" wrapText="1"/>
    </xf>
    <xf numFmtId="0" fontId="3" fillId="0" borderId="33" xfId="0" applyFont="1" applyBorder="1" applyAlignment="1">
      <alignment horizontal="left"/>
    </xf>
    <xf numFmtId="0" fontId="3" fillId="0" borderId="34" xfId="0" applyFont="1" applyBorder="1" applyAlignment="1">
      <alignment horizontal="left"/>
    </xf>
    <xf numFmtId="0" fontId="3" fillId="0" borderId="35" xfId="0" applyFont="1" applyBorder="1" applyAlignment="1">
      <alignment horizontal="left"/>
    </xf>
    <xf numFmtId="0" fontId="13" fillId="0" borderId="19" xfId="0" applyFont="1" applyBorder="1" applyAlignment="1">
      <alignment horizontal="center" vertical="top" wrapText="1"/>
    </xf>
    <xf numFmtId="0" fontId="13" fillId="0" borderId="20" xfId="0" applyFont="1" applyBorder="1" applyAlignment="1">
      <alignment horizontal="center" vertical="top"/>
    </xf>
    <xf numFmtId="0" fontId="13" fillId="0" borderId="21" xfId="0" applyFont="1" applyBorder="1" applyAlignment="1">
      <alignment horizontal="center" vertical="top"/>
    </xf>
    <xf numFmtId="0" fontId="13" fillId="0" borderId="22" xfId="0" applyFont="1" applyBorder="1" applyAlignment="1">
      <alignment horizontal="center" vertical="top"/>
    </xf>
    <xf numFmtId="0" fontId="13" fillId="0" borderId="0" xfId="0" applyFont="1" applyAlignment="1">
      <alignment horizontal="center" vertical="top"/>
    </xf>
    <xf numFmtId="0" fontId="13" fillId="0" borderId="23" xfId="0" applyFont="1" applyBorder="1" applyAlignment="1">
      <alignment horizontal="center" vertical="top"/>
    </xf>
    <xf numFmtId="0" fontId="2" fillId="0" borderId="38" xfId="0" applyFont="1" applyBorder="1" applyAlignment="1">
      <alignment horizontal="right" vertical="top"/>
    </xf>
    <xf numFmtId="0" fontId="2" fillId="0" borderId="5" xfId="0" applyFont="1" applyBorder="1" applyAlignment="1">
      <alignment horizontal="right" vertical="top"/>
    </xf>
    <xf numFmtId="0" fontId="2" fillId="0" borderId="39" xfId="0" applyFont="1" applyBorder="1" applyAlignment="1">
      <alignment horizontal="right" vertical="top"/>
    </xf>
    <xf numFmtId="0" fontId="0" fillId="0" borderId="33" xfId="0" applyBorder="1" applyAlignment="1">
      <alignment horizontal="left" vertical="center"/>
    </xf>
    <xf numFmtId="0" fontId="0" fillId="0" borderId="34" xfId="0" applyBorder="1" applyAlignment="1">
      <alignment horizontal="left" vertical="center"/>
    </xf>
    <xf numFmtId="0" fontId="0" fillId="0" borderId="35" xfId="0" applyBorder="1" applyAlignment="1">
      <alignment horizontal="left" vertical="center"/>
    </xf>
    <xf numFmtId="0" fontId="5" fillId="2" borderId="24" xfId="0" applyFont="1" applyFill="1" applyBorder="1" applyAlignment="1">
      <alignment horizontal="center" vertical="center"/>
    </xf>
    <xf numFmtId="0" fontId="8" fillId="0" borderId="0" xfId="0" applyFont="1" applyBorder="1" applyAlignment="1">
      <alignment horizontal="center" vertical="center"/>
    </xf>
    <xf numFmtId="0" fontId="0" fillId="0" borderId="5" xfId="0" applyBorder="1" applyAlignment="1">
      <alignment horizontal="right" vertical="center"/>
    </xf>
    <xf numFmtId="0" fontId="8" fillId="0" borderId="19" xfId="1" applyFont="1" applyBorder="1" applyAlignment="1">
      <alignment horizontal="center" vertical="center" wrapText="1"/>
    </xf>
    <xf numFmtId="0" fontId="8" fillId="0" borderId="20" xfId="1" applyFont="1" applyBorder="1" applyAlignment="1">
      <alignment horizontal="center" vertical="center" wrapText="1"/>
    </xf>
    <xf numFmtId="0" fontId="8" fillId="0" borderId="21" xfId="1" applyFont="1" applyBorder="1" applyAlignment="1">
      <alignment horizontal="center" vertical="center" wrapText="1"/>
    </xf>
    <xf numFmtId="0" fontId="8" fillId="0" borderId="22" xfId="1" applyFont="1" applyBorder="1" applyAlignment="1">
      <alignment horizontal="center" vertical="center" wrapText="1"/>
    </xf>
    <xf numFmtId="0" fontId="8" fillId="0" borderId="0" xfId="1" applyFont="1" applyAlignment="1">
      <alignment horizontal="center" vertical="center" wrapText="1"/>
    </xf>
    <xf numFmtId="0" fontId="8" fillId="0" borderId="23" xfId="1" applyFont="1" applyBorder="1" applyAlignment="1">
      <alignment horizontal="center" vertical="center" wrapText="1"/>
    </xf>
    <xf numFmtId="0" fontId="3" fillId="0" borderId="22" xfId="0" applyFont="1" applyBorder="1" applyAlignment="1">
      <alignment horizontal="left" vertical="center"/>
    </xf>
    <xf numFmtId="0" fontId="3" fillId="0" borderId="0" xfId="0" applyFont="1" applyAlignment="1">
      <alignment horizontal="left" vertical="center"/>
    </xf>
    <xf numFmtId="0" fontId="3" fillId="0" borderId="23" xfId="0" applyFont="1" applyBorder="1" applyAlignment="1">
      <alignment horizontal="left" vertical="center"/>
    </xf>
    <xf numFmtId="0" fontId="3" fillId="0" borderId="7" xfId="1" applyFont="1" applyBorder="1" applyAlignment="1">
      <alignment horizontal="center" vertical="center" wrapText="1"/>
    </xf>
    <xf numFmtId="0" fontId="3" fillId="0" borderId="4" xfId="1" applyFont="1" applyBorder="1" applyAlignment="1">
      <alignment horizontal="center" vertical="center" wrapText="1"/>
    </xf>
    <xf numFmtId="0" fontId="39" fillId="5" borderId="36" xfId="0" applyFont="1" applyFill="1" applyBorder="1" applyAlignment="1">
      <alignment horizontal="center" vertical="top" wrapText="1"/>
    </xf>
    <xf numFmtId="0" fontId="39" fillId="5" borderId="1" xfId="0" applyFont="1" applyFill="1" applyBorder="1" applyAlignment="1">
      <alignment horizontal="center" vertical="top" wrapText="1"/>
    </xf>
    <xf numFmtId="0" fontId="8" fillId="0" borderId="0" xfId="0" applyFont="1" applyAlignment="1">
      <alignment horizontal="left" vertical="center" wrapText="1"/>
    </xf>
    <xf numFmtId="0" fontId="8" fillId="0" borderId="20" xfId="0" applyFont="1" applyBorder="1" applyAlignment="1">
      <alignment horizontal="center" vertical="top" wrapText="1"/>
    </xf>
    <xf numFmtId="0" fontId="8" fillId="0" borderId="21" xfId="0" applyFont="1" applyBorder="1" applyAlignment="1">
      <alignment horizontal="center" vertical="top" wrapText="1"/>
    </xf>
    <xf numFmtId="0" fontId="8" fillId="0" borderId="22" xfId="0" applyFont="1" applyBorder="1" applyAlignment="1">
      <alignment horizontal="center" vertical="top" wrapText="1"/>
    </xf>
    <xf numFmtId="0" fontId="8" fillId="0" borderId="0" xfId="0" applyFont="1" applyAlignment="1">
      <alignment horizontal="center" vertical="top" wrapText="1"/>
    </xf>
    <xf numFmtId="0" fontId="8" fillId="0" borderId="23" xfId="0" applyFont="1" applyBorder="1" applyAlignment="1">
      <alignment horizontal="center" vertical="top" wrapText="1"/>
    </xf>
    <xf numFmtId="0" fontId="27" fillId="0" borderId="0" xfId="0" applyFont="1" applyAlignment="1">
      <alignment horizontal="center" vertical="top" wrapText="1"/>
    </xf>
    <xf numFmtId="0" fontId="2" fillId="0" borderId="53" xfId="0" applyFont="1" applyBorder="1" applyAlignment="1">
      <alignment horizontal="center" vertical="center"/>
    </xf>
    <xf numFmtId="0" fontId="2" fillId="0" borderId="58" xfId="0" applyFont="1" applyBorder="1" applyAlignment="1">
      <alignment horizontal="center" vertical="center"/>
    </xf>
    <xf numFmtId="0" fontId="2" fillId="0" borderId="36" xfId="0" applyFont="1" applyBorder="1" applyAlignment="1">
      <alignment horizontal="left" vertical="center"/>
    </xf>
    <xf numFmtId="0" fontId="2" fillId="0" borderId="1" xfId="0" applyFont="1" applyBorder="1" applyAlignment="1">
      <alignment horizontal="left" vertical="center"/>
    </xf>
    <xf numFmtId="0" fontId="13" fillId="0" borderId="22" xfId="0" applyFont="1" applyBorder="1" applyAlignment="1">
      <alignment horizontal="center" vertical="center" wrapText="1"/>
    </xf>
    <xf numFmtId="0" fontId="13" fillId="0" borderId="0" xfId="0" applyFont="1" applyAlignment="1">
      <alignment horizontal="center" vertical="center" wrapText="1"/>
    </xf>
    <xf numFmtId="0" fontId="13" fillId="0" borderId="23" xfId="0" applyFont="1" applyBorder="1" applyAlignment="1">
      <alignment horizontal="center" vertical="center" wrapText="1"/>
    </xf>
    <xf numFmtId="0" fontId="2" fillId="2" borderId="1" xfId="0" applyFont="1" applyFill="1" applyBorder="1" applyAlignment="1">
      <alignment horizontal="center" vertical="center"/>
    </xf>
    <xf numFmtId="0" fontId="12" fillId="0" borderId="22" xfId="0" applyFont="1" applyBorder="1" applyAlignment="1">
      <alignment horizontal="left" vertical="center" wrapText="1"/>
    </xf>
    <xf numFmtId="0" fontId="12" fillId="0" borderId="0" xfId="0" applyFont="1" applyAlignment="1">
      <alignment horizontal="left" vertical="center" wrapText="1"/>
    </xf>
    <xf numFmtId="0" fontId="12" fillId="0" borderId="23" xfId="0" applyFont="1" applyBorder="1" applyAlignment="1">
      <alignment horizontal="left" vertical="center" wrapText="1"/>
    </xf>
    <xf numFmtId="0" fontId="2" fillId="0" borderId="45" xfId="0" applyFont="1" applyBorder="1" applyAlignment="1">
      <alignment horizontal="left" vertical="center"/>
    </xf>
    <xf numFmtId="0" fontId="2" fillId="0" borderId="6" xfId="0" applyFont="1" applyBorder="1" applyAlignment="1">
      <alignment horizontal="left" vertical="center"/>
    </xf>
    <xf numFmtId="0" fontId="2" fillId="2" borderId="24" xfId="0" applyFont="1" applyFill="1" applyBorder="1" applyAlignment="1">
      <alignment horizontal="center" vertical="center"/>
    </xf>
    <xf numFmtId="0" fontId="2" fillId="2" borderId="36"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5" fillId="2" borderId="45" xfId="2" applyFont="1" applyFill="1" applyBorder="1" applyAlignment="1">
      <alignment horizontal="center" vertical="center" wrapText="1"/>
    </xf>
    <xf numFmtId="0" fontId="5" fillId="2" borderId="36" xfId="2" applyFont="1" applyFill="1" applyBorder="1" applyAlignment="1">
      <alignment horizontal="center" vertical="center" wrapText="1"/>
    </xf>
    <xf numFmtId="0" fontId="5" fillId="2" borderId="56" xfId="0" applyFont="1" applyFill="1" applyBorder="1" applyAlignment="1">
      <alignment horizontal="center" vertical="center" wrapText="1"/>
    </xf>
    <xf numFmtId="0" fontId="3" fillId="0" borderId="22" xfId="0" applyFont="1" applyBorder="1" applyAlignment="1">
      <alignment horizontal="left"/>
    </xf>
    <xf numFmtId="0" fontId="3" fillId="0" borderId="0" xfId="0" applyFont="1" applyAlignment="1">
      <alignment horizontal="left"/>
    </xf>
    <xf numFmtId="0" fontId="5" fillId="2" borderId="46" xfId="0" applyFont="1" applyFill="1" applyBorder="1" applyAlignment="1">
      <alignment horizontal="center" vertical="center" wrapText="1"/>
    </xf>
    <xf numFmtId="0" fontId="5" fillId="2" borderId="6" xfId="2" applyFont="1" applyFill="1" applyBorder="1" applyAlignment="1">
      <alignment horizontal="center" vertical="center" wrapText="1"/>
    </xf>
    <xf numFmtId="0" fontId="5" fillId="2" borderId="1" xfId="2" applyFont="1" applyFill="1" applyBorder="1" applyAlignment="1">
      <alignment horizontal="center" vertical="center" wrapText="1"/>
    </xf>
    <xf numFmtId="0" fontId="8" fillId="0" borderId="19" xfId="3" applyFont="1" applyBorder="1" applyAlignment="1">
      <alignment horizontal="center" vertical="center" wrapText="1"/>
    </xf>
    <xf numFmtId="0" fontId="8" fillId="0" borderId="20" xfId="3" applyFont="1" applyBorder="1" applyAlignment="1">
      <alignment horizontal="center" vertical="center" wrapText="1"/>
    </xf>
    <xf numFmtId="0" fontId="8" fillId="0" borderId="21" xfId="3" applyFont="1" applyBorder="1" applyAlignment="1">
      <alignment horizontal="center" vertical="center" wrapText="1"/>
    </xf>
    <xf numFmtId="0" fontId="8" fillId="0" borderId="22" xfId="3" applyFont="1" applyBorder="1" applyAlignment="1">
      <alignment horizontal="center" vertical="center"/>
    </xf>
    <xf numFmtId="0" fontId="8" fillId="0" borderId="0" xfId="3" applyFont="1" applyAlignment="1">
      <alignment horizontal="center" vertical="center"/>
    </xf>
    <xf numFmtId="0" fontId="8" fillId="0" borderId="23" xfId="3" applyFont="1" applyBorder="1" applyAlignment="1">
      <alignment horizontal="center" vertical="center"/>
    </xf>
    <xf numFmtId="0" fontId="3" fillId="0" borderId="5" xfId="3" applyFont="1" applyBorder="1" applyAlignment="1">
      <alignment horizontal="right" vertical="center"/>
    </xf>
    <xf numFmtId="0" fontId="3" fillId="0" borderId="39" xfId="3" applyFont="1" applyBorder="1" applyAlignment="1">
      <alignment horizontal="right" vertical="center"/>
    </xf>
    <xf numFmtId="0" fontId="3" fillId="2" borderId="1" xfId="0" applyFont="1" applyFill="1" applyBorder="1" applyAlignment="1">
      <alignment horizontal="center" vertical="center"/>
    </xf>
    <xf numFmtId="0" fontId="3" fillId="2" borderId="2" xfId="0" applyFont="1" applyFill="1" applyBorder="1" applyAlignment="1">
      <alignment horizontal="center" vertical="center"/>
    </xf>
    <xf numFmtId="0" fontId="5" fillId="2" borderId="42" xfId="0" applyFont="1" applyFill="1" applyBorder="1" applyAlignment="1">
      <alignment horizontal="center" vertical="center" wrapText="1"/>
    </xf>
    <xf numFmtId="0" fontId="5" fillId="0" borderId="22" xfId="0" applyFont="1" applyBorder="1" applyAlignment="1">
      <alignment horizontal="left" vertical="top" wrapText="1"/>
    </xf>
    <xf numFmtId="0" fontId="5" fillId="0" borderId="0" xfId="0" applyFont="1" applyAlignment="1">
      <alignment horizontal="left" vertical="top"/>
    </xf>
    <xf numFmtId="0" fontId="5" fillId="0" borderId="23" xfId="0" applyFont="1" applyBorder="1" applyAlignment="1">
      <alignment horizontal="left" vertical="top"/>
    </xf>
    <xf numFmtId="0" fontId="5" fillId="0" borderId="22" xfId="0" applyFont="1" applyBorder="1" applyAlignment="1">
      <alignment horizontal="left" vertical="center"/>
    </xf>
    <xf numFmtId="0" fontId="5" fillId="0" borderId="0" xfId="0" applyFont="1" applyAlignment="1">
      <alignment horizontal="left" vertical="center"/>
    </xf>
    <xf numFmtId="0" fontId="5" fillId="0" borderId="23" xfId="0" applyFont="1" applyBorder="1" applyAlignment="1">
      <alignment horizontal="left" vertical="center"/>
    </xf>
    <xf numFmtId="0" fontId="3" fillId="0" borderId="0" xfId="0" applyFont="1" applyBorder="1" applyAlignment="1">
      <alignment horizontal="right" vertical="center"/>
    </xf>
    <xf numFmtId="0" fontId="3" fillId="0" borderId="23" xfId="0" applyFont="1" applyBorder="1" applyAlignment="1">
      <alignment horizontal="right" vertical="center"/>
    </xf>
    <xf numFmtId="0" fontId="8" fillId="0" borderId="0" xfId="0" applyFont="1" applyBorder="1" applyAlignment="1">
      <alignment horizontal="center" vertical="center" wrapText="1"/>
    </xf>
    <xf numFmtId="49" fontId="5" fillId="2" borderId="24" xfId="0" applyNumberFormat="1" applyFont="1" applyFill="1" applyBorder="1" applyAlignment="1">
      <alignment horizontal="center" vertical="center" wrapText="1"/>
    </xf>
    <xf numFmtId="0" fontId="3" fillId="0" borderId="33" xfId="10" applyFont="1" applyBorder="1" applyAlignment="1">
      <alignment horizontal="left" vertical="center"/>
    </xf>
    <xf numFmtId="0" fontId="3" fillId="0" borderId="34" xfId="10" applyFont="1" applyBorder="1" applyAlignment="1">
      <alignment horizontal="left" vertical="center"/>
    </xf>
    <xf numFmtId="0" fontId="3" fillId="0" borderId="35" xfId="10" applyFont="1" applyBorder="1" applyAlignment="1">
      <alignment horizontal="left" vertical="center"/>
    </xf>
    <xf numFmtId="0" fontId="3" fillId="0" borderId="22" xfId="10" applyFont="1" applyBorder="1" applyAlignment="1">
      <alignment horizontal="left" vertical="center"/>
    </xf>
    <xf numFmtId="0" fontId="3" fillId="0" borderId="0" xfId="10" applyFont="1" applyAlignment="1">
      <alignment horizontal="left" vertical="center"/>
    </xf>
    <xf numFmtId="0" fontId="3" fillId="0" borderId="23" xfId="10" applyFont="1" applyBorder="1" applyAlignment="1">
      <alignment horizontal="left" vertical="center"/>
    </xf>
    <xf numFmtId="1" fontId="5" fillId="0" borderId="41" xfId="10" applyNumberFormat="1" applyFont="1" applyBorder="1" applyAlignment="1">
      <alignment horizontal="center" vertical="center"/>
    </xf>
    <xf numFmtId="1" fontId="5" fillId="0" borderId="3" xfId="10" applyNumberFormat="1" applyFont="1" applyBorder="1" applyAlignment="1">
      <alignment horizontal="center" vertical="center"/>
    </xf>
    <xf numFmtId="0" fontId="3" fillId="0" borderId="53" xfId="10" applyFont="1" applyBorder="1" applyAlignment="1">
      <alignment horizontal="left"/>
    </xf>
    <xf numFmtId="0" fontId="3" fillId="0" borderId="16" xfId="10" applyFont="1" applyBorder="1" applyAlignment="1">
      <alignment horizontal="left"/>
    </xf>
    <xf numFmtId="0" fontId="3" fillId="0" borderId="54" xfId="10" applyFont="1" applyBorder="1" applyAlignment="1">
      <alignment horizontal="left"/>
    </xf>
    <xf numFmtId="0" fontId="8" fillId="0" borderId="19" xfId="10" applyFont="1" applyBorder="1" applyAlignment="1">
      <alignment horizontal="center" vertical="top" wrapText="1"/>
    </xf>
    <xf numFmtId="0" fontId="8" fillId="0" borderId="20" xfId="10" applyFont="1" applyBorder="1" applyAlignment="1">
      <alignment horizontal="center" vertical="top" wrapText="1"/>
    </xf>
    <xf numFmtId="0" fontId="8" fillId="0" borderId="21" xfId="10" applyFont="1" applyBorder="1" applyAlignment="1">
      <alignment horizontal="center" vertical="top" wrapText="1"/>
    </xf>
    <xf numFmtId="0" fontId="8" fillId="0" borderId="22" xfId="10" applyFont="1" applyBorder="1" applyAlignment="1">
      <alignment horizontal="center" vertical="top" wrapText="1"/>
    </xf>
    <xf numFmtId="0" fontId="8" fillId="0" borderId="0" xfId="10" applyFont="1" applyAlignment="1">
      <alignment horizontal="center" vertical="top" wrapText="1"/>
    </xf>
    <xf numFmtId="0" fontId="8" fillId="0" borderId="23" xfId="10" applyFont="1" applyBorder="1" applyAlignment="1">
      <alignment horizontal="center" vertical="top" wrapText="1"/>
    </xf>
    <xf numFmtId="1" fontId="5" fillId="0" borderId="36" xfId="10" applyNumberFormat="1" applyFont="1" applyBorder="1" applyAlignment="1">
      <alignment horizontal="center" vertical="center"/>
    </xf>
    <xf numFmtId="1" fontId="5" fillId="0" borderId="1" xfId="10" applyNumberFormat="1" applyFont="1" applyBorder="1" applyAlignment="1">
      <alignment horizontal="center" vertical="center"/>
    </xf>
    <xf numFmtId="0" fontId="3" fillId="0" borderId="38" xfId="10" applyFont="1" applyBorder="1" applyAlignment="1">
      <alignment horizontal="right" vertical="center" wrapText="1"/>
    </xf>
    <xf numFmtId="0" fontId="3" fillId="0" borderId="5" xfId="10" applyFont="1" applyBorder="1" applyAlignment="1">
      <alignment horizontal="right" vertical="center" wrapText="1"/>
    </xf>
    <xf numFmtId="0" fontId="3" fillId="0" borderId="39" xfId="10" applyFont="1" applyBorder="1" applyAlignment="1">
      <alignment horizontal="right" vertical="center" wrapText="1"/>
    </xf>
    <xf numFmtId="1" fontId="81" fillId="0" borderId="3" xfId="0" applyNumberFormat="1" applyFont="1" applyBorder="1" applyAlignment="1">
      <alignment horizontal="center" vertical="center"/>
    </xf>
    <xf numFmtId="1" fontId="81" fillId="0" borderId="6" xfId="0" applyNumberFormat="1" applyFont="1" applyBorder="1" applyAlignment="1">
      <alignment horizontal="center" vertical="center"/>
    </xf>
    <xf numFmtId="1" fontId="70" fillId="0" borderId="3" xfId="94" applyNumberFormat="1" applyFont="1" applyBorder="1" applyAlignment="1">
      <alignment horizontal="center" vertical="center"/>
    </xf>
    <xf numFmtId="1" fontId="70" fillId="0" borderId="6" xfId="94" applyNumberFormat="1" applyFont="1" applyBorder="1" applyAlignment="1">
      <alignment horizontal="center" vertical="center"/>
    </xf>
    <xf numFmtId="0" fontId="13" fillId="0" borderId="23" xfId="0" applyFont="1" applyBorder="1" applyAlignment="1">
      <alignment horizontal="center" vertical="center"/>
    </xf>
    <xf numFmtId="0" fontId="13" fillId="0" borderId="19" xfId="0" applyFont="1" applyBorder="1" applyAlignment="1">
      <alignment horizontal="center" vertical="center"/>
    </xf>
    <xf numFmtId="0" fontId="13" fillId="0" borderId="21" xfId="0" applyFont="1" applyBorder="1" applyAlignment="1">
      <alignment horizontal="center" vertical="center"/>
    </xf>
    <xf numFmtId="0" fontId="62" fillId="0" borderId="22" xfId="0" applyFont="1" applyBorder="1" applyAlignment="1">
      <alignment horizontal="right" vertical="center" wrapText="1"/>
    </xf>
    <xf numFmtId="0" fontId="62" fillId="0" borderId="23" xfId="0" applyFont="1" applyBorder="1" applyAlignment="1">
      <alignment horizontal="right" vertical="center" wrapText="1"/>
    </xf>
    <xf numFmtId="0" fontId="3" fillId="0" borderId="22" xfId="10" applyFont="1" applyBorder="1" applyAlignment="1">
      <alignment horizontal="left"/>
    </xf>
    <xf numFmtId="0" fontId="3" fillId="0" borderId="0" xfId="10" applyFont="1" applyAlignment="1">
      <alignment horizontal="left"/>
    </xf>
    <xf numFmtId="0" fontId="3" fillId="0" borderId="23" xfId="10" applyFont="1" applyBorder="1" applyAlignment="1">
      <alignment horizontal="left"/>
    </xf>
    <xf numFmtId="0" fontId="5" fillId="0" borderId="36" xfId="10" applyFont="1" applyBorder="1" applyAlignment="1">
      <alignment horizontal="center"/>
    </xf>
    <xf numFmtId="0" fontId="5" fillId="0" borderId="1" xfId="10" applyFont="1" applyBorder="1" applyAlignment="1">
      <alignment horizontal="center"/>
    </xf>
    <xf numFmtId="0" fontId="3" fillId="0" borderId="38" xfId="10" applyFont="1" applyBorder="1" applyAlignment="1">
      <alignment horizontal="right" wrapText="1"/>
    </xf>
    <xf numFmtId="0" fontId="3" fillId="0" borderId="5" xfId="10" applyFont="1" applyBorder="1" applyAlignment="1">
      <alignment horizontal="right" wrapText="1"/>
    </xf>
    <xf numFmtId="0" fontId="3" fillId="0" borderId="39" xfId="10" applyFont="1" applyBorder="1" applyAlignment="1">
      <alignment horizontal="right" wrapText="1"/>
    </xf>
    <xf numFmtId="1" fontId="5" fillId="0" borderId="36" xfId="10" applyNumberFormat="1" applyFont="1" applyBorder="1" applyAlignment="1">
      <alignment horizontal="center"/>
    </xf>
    <xf numFmtId="1" fontId="5" fillId="0" borderId="1" xfId="10" applyNumberFormat="1" applyFont="1" applyBorder="1" applyAlignment="1">
      <alignment horizontal="center"/>
    </xf>
    <xf numFmtId="0" fontId="5" fillId="0" borderId="41" xfId="10" applyFont="1" applyBorder="1" applyAlignment="1">
      <alignment horizontal="center"/>
    </xf>
    <xf numFmtId="0" fontId="5" fillId="0" borderId="3" xfId="10" applyFont="1" applyBorder="1" applyAlignment="1">
      <alignment horizontal="center"/>
    </xf>
    <xf numFmtId="0" fontId="3" fillId="0" borderId="33" xfId="0" applyFont="1" applyBorder="1" applyAlignment="1">
      <alignment horizontal="left" vertical="center"/>
    </xf>
    <xf numFmtId="0" fontId="3" fillId="0" borderId="34" xfId="0" applyFont="1" applyBorder="1" applyAlignment="1">
      <alignment horizontal="left" vertical="center"/>
    </xf>
    <xf numFmtId="0" fontId="3" fillId="0" borderId="34" xfId="0" applyFont="1" applyBorder="1" applyAlignment="1">
      <alignment horizontal="right" vertical="center"/>
    </xf>
    <xf numFmtId="0" fontId="3" fillId="0" borderId="35" xfId="0" applyFont="1" applyBorder="1" applyAlignment="1">
      <alignment horizontal="right" vertical="center"/>
    </xf>
    <xf numFmtId="0" fontId="8" fillId="0" borderId="22" xfId="0" applyFont="1" applyBorder="1" applyAlignment="1">
      <alignment horizontal="center" vertical="top"/>
    </xf>
    <xf numFmtId="0" fontId="8" fillId="0" borderId="0" xfId="0" applyFont="1" applyAlignment="1">
      <alignment horizontal="center" vertical="top"/>
    </xf>
    <xf numFmtId="0" fontId="8" fillId="0" borderId="23" xfId="0" applyFont="1" applyBorder="1" applyAlignment="1">
      <alignment horizontal="center" vertical="top"/>
    </xf>
    <xf numFmtId="0" fontId="25" fillId="0" borderId="22" xfId="0" applyFont="1" applyBorder="1" applyAlignment="1">
      <alignment horizontal="right" vertical="center" wrapText="1"/>
    </xf>
    <xf numFmtId="0" fontId="25" fillId="0" borderId="0" xfId="0" applyFont="1" applyAlignment="1">
      <alignment horizontal="right" vertical="center"/>
    </xf>
    <xf numFmtId="0" fontId="25" fillId="0" borderId="23" xfId="0" applyFont="1" applyBorder="1" applyAlignment="1">
      <alignment horizontal="right" vertical="center"/>
    </xf>
    <xf numFmtId="2" fontId="5" fillId="0" borderId="37" xfId="0" applyNumberFormat="1" applyFont="1" applyBorder="1" applyAlignment="1">
      <alignment horizontal="center" vertical="center"/>
    </xf>
    <xf numFmtId="2" fontId="5" fillId="0" borderId="2" xfId="0" applyNumberFormat="1" applyFont="1" applyBorder="1" applyAlignment="1">
      <alignment horizontal="center" vertical="center"/>
    </xf>
    <xf numFmtId="0" fontId="26" fillId="0" borderId="0" xfId="0" applyFont="1" applyAlignment="1">
      <alignment horizontal="left" vertical="center"/>
    </xf>
    <xf numFmtId="0" fontId="8" fillId="0" borderId="5" xfId="0" applyFont="1" applyBorder="1" applyAlignment="1">
      <alignment horizontal="right" vertical="center"/>
    </xf>
    <xf numFmtId="0" fontId="8" fillId="0" borderId="39" xfId="0" applyFont="1" applyBorder="1" applyAlignment="1">
      <alignment horizontal="right" vertical="center"/>
    </xf>
    <xf numFmtId="0" fontId="5" fillId="2" borderId="41" xfId="0" applyFont="1" applyFill="1" applyBorder="1" applyAlignment="1">
      <alignment horizontal="center" vertical="center" wrapText="1"/>
    </xf>
    <xf numFmtId="0" fontId="5" fillId="2" borderId="15" xfId="0" applyFont="1" applyFill="1" applyBorder="1" applyAlignment="1">
      <alignment horizontal="center" vertical="center" wrapText="1"/>
    </xf>
    <xf numFmtId="0" fontId="5" fillId="0" borderId="1" xfId="0" applyFont="1" applyBorder="1" applyAlignment="1">
      <alignment horizontal="center" vertical="center"/>
    </xf>
    <xf numFmtId="2" fontId="5" fillId="0" borderId="7" xfId="0" applyNumberFormat="1" applyFont="1" applyBorder="1" applyAlignment="1">
      <alignment horizontal="right" vertical="center"/>
    </xf>
    <xf numFmtId="2" fontId="5" fillId="0" borderId="2" xfId="0" applyNumberFormat="1" applyFont="1" applyBorder="1" applyAlignment="1">
      <alignment horizontal="right" vertical="center"/>
    </xf>
    <xf numFmtId="0" fontId="3" fillId="0" borderId="53" xfId="4" applyFont="1" applyBorder="1" applyAlignment="1">
      <alignment horizontal="left" vertical="top" wrapText="1"/>
    </xf>
    <xf numFmtId="0" fontId="3" fillId="0" borderId="16" xfId="4" applyFont="1" applyBorder="1" applyAlignment="1">
      <alignment horizontal="left" vertical="top" wrapText="1"/>
    </xf>
    <xf numFmtId="0" fontId="3" fillId="0" borderId="54" xfId="4" applyFont="1" applyBorder="1" applyAlignment="1">
      <alignment horizontal="left" vertical="top" wrapText="1"/>
    </xf>
    <xf numFmtId="0" fontId="3" fillId="0" borderId="22" xfId="0" applyFont="1" applyBorder="1" applyAlignment="1">
      <alignment horizontal="left" vertical="top"/>
    </xf>
    <xf numFmtId="0" fontId="3" fillId="0" borderId="0" xfId="0" applyFont="1" applyAlignment="1">
      <alignment horizontal="left" vertical="top"/>
    </xf>
    <xf numFmtId="0" fontId="3" fillId="0" borderId="23" xfId="0" applyFont="1" applyBorder="1" applyAlignment="1">
      <alignment horizontal="left" vertical="top"/>
    </xf>
    <xf numFmtId="0" fontId="5" fillId="0" borderId="36" xfId="0" applyFont="1" applyBorder="1" applyAlignment="1">
      <alignment horizontal="left" vertical="top" wrapText="1"/>
    </xf>
    <xf numFmtId="0" fontId="5" fillId="0" borderId="1" xfId="0" applyFont="1" applyBorder="1" applyAlignment="1">
      <alignment horizontal="left" vertical="top"/>
    </xf>
    <xf numFmtId="0" fontId="5" fillId="0" borderId="0" xfId="0" applyFont="1" applyAlignment="1">
      <alignment horizontal="left" vertical="top" wrapText="1"/>
    </xf>
    <xf numFmtId="0" fontId="5" fillId="0" borderId="19" xfId="0" applyFont="1" applyBorder="1" applyAlignment="1">
      <alignment horizontal="center" vertical="top" wrapText="1"/>
    </xf>
    <xf numFmtId="0" fontId="5" fillId="0" borderId="20" xfId="0" applyFont="1" applyBorder="1" applyAlignment="1">
      <alignment horizontal="center" vertical="top" wrapText="1"/>
    </xf>
    <xf numFmtId="0" fontId="5" fillId="0" borderId="21" xfId="0" applyFont="1" applyBorder="1" applyAlignment="1">
      <alignment horizontal="center" vertical="top" wrapText="1"/>
    </xf>
    <xf numFmtId="0" fontId="5" fillId="0" borderId="22" xfId="0" applyFont="1" applyBorder="1" applyAlignment="1">
      <alignment horizontal="center" vertical="top"/>
    </xf>
    <xf numFmtId="0" fontId="5" fillId="0" borderId="0" xfId="0" applyFont="1" applyAlignment="1">
      <alignment horizontal="center" vertical="top"/>
    </xf>
    <xf numFmtId="0" fontId="5" fillId="0" borderId="23" xfId="0" applyFont="1" applyBorder="1" applyAlignment="1">
      <alignment horizontal="center" vertical="top"/>
    </xf>
    <xf numFmtId="0" fontId="3" fillId="0" borderId="38" xfId="0" applyFont="1" applyBorder="1" applyAlignment="1">
      <alignment horizontal="right" vertical="top"/>
    </xf>
    <xf numFmtId="0" fontId="3" fillId="0" borderId="5" xfId="0" applyFont="1" applyBorder="1" applyAlignment="1">
      <alignment horizontal="right" vertical="top"/>
    </xf>
    <xf numFmtId="0" fontId="3" fillId="0" borderId="39" xfId="0" applyFont="1" applyBorder="1" applyAlignment="1">
      <alignment horizontal="right" vertical="top"/>
    </xf>
    <xf numFmtId="0" fontId="5" fillId="0" borderId="53" xfId="0" applyFont="1" applyBorder="1" applyAlignment="1">
      <alignment horizontal="left" vertical="top" wrapText="1"/>
    </xf>
    <xf numFmtId="0" fontId="5" fillId="0" borderId="16" xfId="0" applyFont="1" applyBorder="1" applyAlignment="1">
      <alignment horizontal="left" vertical="top" wrapText="1"/>
    </xf>
    <xf numFmtId="0" fontId="3" fillId="0" borderId="33" xfId="0" applyFont="1" applyBorder="1" applyAlignment="1">
      <alignment horizontal="left" vertical="top"/>
    </xf>
    <xf numFmtId="0" fontId="3" fillId="0" borderId="34" xfId="0" applyFont="1" applyBorder="1" applyAlignment="1">
      <alignment horizontal="left" vertical="top"/>
    </xf>
    <xf numFmtId="0" fontId="5" fillId="0" borderId="54" xfId="0" applyFont="1" applyBorder="1" applyAlignment="1">
      <alignment horizontal="left" vertical="top" wrapText="1"/>
    </xf>
    <xf numFmtId="0" fontId="3" fillId="0" borderId="22" xfId="4" applyFont="1" applyBorder="1" applyAlignment="1">
      <alignment horizontal="left" vertical="top" wrapText="1"/>
    </xf>
    <xf numFmtId="0" fontId="3" fillId="0" borderId="0" xfId="4" applyFont="1" applyAlignment="1">
      <alignment horizontal="left" vertical="top" wrapText="1"/>
    </xf>
    <xf numFmtId="0" fontId="3" fillId="0" borderId="23" xfId="4" applyFont="1" applyBorder="1" applyAlignment="1">
      <alignment horizontal="left" vertical="top" wrapText="1"/>
    </xf>
    <xf numFmtId="0" fontId="5" fillId="0" borderId="22" xfId="0" applyFont="1" applyBorder="1" applyAlignment="1">
      <alignment horizontal="center" vertical="top" wrapText="1"/>
    </xf>
    <xf numFmtId="0" fontId="5" fillId="0" borderId="0" xfId="0" applyFont="1" applyAlignment="1">
      <alignment horizontal="center" vertical="top" wrapText="1"/>
    </xf>
    <xf numFmtId="0" fontId="5" fillId="0" borderId="23" xfId="0" applyFont="1" applyBorder="1" applyAlignment="1">
      <alignment horizontal="center" vertical="top" wrapText="1"/>
    </xf>
    <xf numFmtId="0" fontId="25" fillId="0" borderId="33" xfId="8" applyFont="1" applyBorder="1" applyAlignment="1">
      <alignment horizontal="left" vertical="center"/>
    </xf>
    <xf numFmtId="0" fontId="25" fillId="0" borderId="34" xfId="8" applyFont="1" applyBorder="1" applyAlignment="1">
      <alignment horizontal="left" vertical="center"/>
    </xf>
    <xf numFmtId="0" fontId="25" fillId="0" borderId="35" xfId="8" applyFont="1" applyBorder="1" applyAlignment="1">
      <alignment horizontal="left" vertical="center"/>
    </xf>
    <xf numFmtId="0" fontId="29" fillId="0" borderId="19" xfId="8" applyFont="1" applyBorder="1" applyAlignment="1">
      <alignment horizontal="center" vertical="center" wrapText="1"/>
    </xf>
    <xf numFmtId="0" fontId="29" fillId="0" borderId="20" xfId="8" applyFont="1" applyBorder="1" applyAlignment="1">
      <alignment horizontal="center" vertical="center" wrapText="1"/>
    </xf>
    <xf numFmtId="0" fontId="29" fillId="0" borderId="21" xfId="8" applyFont="1" applyBorder="1" applyAlignment="1">
      <alignment horizontal="center" vertical="center" wrapText="1"/>
    </xf>
    <xf numFmtId="0" fontId="25" fillId="0" borderId="33" xfId="8" applyFont="1" applyBorder="1" applyAlignment="1">
      <alignment horizontal="left" vertical="center" wrapText="1"/>
    </xf>
    <xf numFmtId="0" fontId="30" fillId="0" borderId="0" xfId="8" applyFont="1" applyAlignment="1">
      <alignment horizontal="right" vertical="center"/>
    </xf>
    <xf numFmtId="0" fontId="30" fillId="0" borderId="23" xfId="8" applyFont="1" applyBorder="1" applyAlignment="1">
      <alignment horizontal="right" vertical="center"/>
    </xf>
    <xf numFmtId="0" fontId="29" fillId="0" borderId="22" xfId="8" applyFont="1" applyBorder="1" applyAlignment="1">
      <alignment horizontal="center" vertical="center" wrapText="1"/>
    </xf>
    <xf numFmtId="0" fontId="29" fillId="0" borderId="0" xfId="8" applyFont="1" applyAlignment="1">
      <alignment horizontal="center" vertical="center" wrapText="1"/>
    </xf>
    <xf numFmtId="0" fontId="29" fillId="0" borderId="23" xfId="8" applyFont="1" applyBorder="1" applyAlignment="1">
      <alignment horizontal="center" vertical="center" wrapText="1"/>
    </xf>
    <xf numFmtId="0" fontId="29" fillId="2" borderId="41" xfId="8" applyFont="1" applyFill="1" applyBorder="1" applyAlignment="1">
      <alignment horizontal="center" vertical="center" wrapText="1"/>
    </xf>
    <xf numFmtId="0" fontId="29" fillId="2" borderId="45" xfId="8" applyFont="1" applyFill="1" applyBorder="1" applyAlignment="1">
      <alignment horizontal="center" vertical="center" wrapText="1"/>
    </xf>
    <xf numFmtId="0" fontId="29" fillId="2" borderId="42" xfId="8" applyFont="1" applyFill="1" applyBorder="1" applyAlignment="1">
      <alignment horizontal="center" vertical="center" wrapText="1"/>
    </xf>
    <xf numFmtId="0" fontId="29" fillId="2" borderId="46" xfId="8" applyFont="1" applyFill="1" applyBorder="1" applyAlignment="1">
      <alignment horizontal="center" vertical="center" wrapText="1"/>
    </xf>
    <xf numFmtId="0" fontId="29" fillId="2" borderId="3" xfId="8" applyFont="1" applyFill="1" applyBorder="1" applyAlignment="1">
      <alignment horizontal="center" vertical="center" wrapText="1"/>
    </xf>
    <xf numFmtId="0" fontId="29" fillId="2" borderId="6" xfId="8" applyFont="1" applyFill="1" applyBorder="1" applyAlignment="1">
      <alignment horizontal="center" vertical="center" wrapText="1"/>
    </xf>
    <xf numFmtId="0" fontId="5" fillId="0" borderId="36" xfId="9" applyFont="1" applyBorder="1" applyAlignment="1">
      <alignment horizontal="center" vertical="center"/>
    </xf>
    <xf numFmtId="0" fontId="5" fillId="0" borderId="1" xfId="9" applyFont="1" applyBorder="1" applyAlignment="1">
      <alignment horizontal="center" vertical="center"/>
    </xf>
    <xf numFmtId="0" fontId="3" fillId="0" borderId="22" xfId="9" applyFont="1" applyBorder="1" applyAlignment="1">
      <alignment horizontal="left" vertical="center" wrapText="1"/>
    </xf>
    <xf numFmtId="0" fontId="3" fillId="0" borderId="0" xfId="9" applyFont="1" applyAlignment="1">
      <alignment horizontal="left" vertical="center" wrapText="1"/>
    </xf>
    <xf numFmtId="0" fontId="3" fillId="0" borderId="23" xfId="9" applyFont="1" applyBorder="1" applyAlignment="1">
      <alignment horizontal="left" vertical="center" wrapText="1"/>
    </xf>
    <xf numFmtId="0" fontId="3" fillId="0" borderId="33" xfId="9" applyFont="1" applyBorder="1" applyAlignment="1">
      <alignment horizontal="left" vertical="center" wrapText="1"/>
    </xf>
    <xf numFmtId="0" fontId="3" fillId="0" borderId="34" xfId="9" applyFont="1" applyBorder="1" applyAlignment="1">
      <alignment horizontal="left" vertical="center" wrapText="1"/>
    </xf>
    <xf numFmtId="0" fontId="3" fillId="0" borderId="35" xfId="9" applyFont="1" applyBorder="1" applyAlignment="1">
      <alignment horizontal="left" vertical="center" wrapText="1"/>
    </xf>
    <xf numFmtId="0" fontId="5" fillId="0" borderId="19" xfId="9" applyFont="1" applyBorder="1" applyAlignment="1">
      <alignment horizontal="center" vertical="center"/>
    </xf>
    <xf numFmtId="0" fontId="5" fillId="0" borderId="20" xfId="9" applyFont="1" applyBorder="1" applyAlignment="1">
      <alignment horizontal="center" vertical="center"/>
    </xf>
    <xf numFmtId="0" fontId="5" fillId="0" borderId="21" xfId="9" applyFont="1" applyBorder="1" applyAlignment="1">
      <alignment horizontal="center" vertical="center"/>
    </xf>
    <xf numFmtId="0" fontId="5" fillId="0" borderId="22" xfId="9" applyFont="1" applyBorder="1" applyAlignment="1">
      <alignment horizontal="center" vertical="center"/>
    </xf>
    <xf numFmtId="0" fontId="5" fillId="0" borderId="0" xfId="9" applyFont="1" applyAlignment="1">
      <alignment horizontal="center" vertical="center"/>
    </xf>
    <xf numFmtId="0" fontId="5" fillId="0" borderId="23" xfId="9" applyFont="1" applyBorder="1" applyAlignment="1">
      <alignment horizontal="center" vertical="center"/>
    </xf>
    <xf numFmtId="0" fontId="3" fillId="0" borderId="0" xfId="9" applyFont="1" applyAlignment="1">
      <alignment horizontal="center" vertical="center"/>
    </xf>
    <xf numFmtId="2" fontId="3" fillId="0" borderId="0" xfId="9" applyNumberFormat="1" applyFont="1" applyAlignment="1">
      <alignment horizontal="center" vertical="center"/>
    </xf>
    <xf numFmtId="0" fontId="3" fillId="0" borderId="23" xfId="9" applyFont="1" applyBorder="1" applyAlignment="1">
      <alignment horizontal="center" vertical="center"/>
    </xf>
    <xf numFmtId="2" fontId="3" fillId="0" borderId="3" xfId="9" applyNumberFormat="1" applyFont="1" applyBorder="1" applyAlignment="1">
      <alignment horizontal="center" vertical="center"/>
    </xf>
    <xf numFmtId="2" fontId="3" fillId="0" borderId="6" xfId="9" applyNumberFormat="1" applyFont="1" applyBorder="1" applyAlignment="1">
      <alignment horizontal="center" vertical="center"/>
    </xf>
    <xf numFmtId="0" fontId="3" fillId="0" borderId="42" xfId="9" applyFont="1" applyBorder="1" applyAlignment="1">
      <alignment horizontal="center" vertical="center" wrapText="1"/>
    </xf>
    <xf numFmtId="0" fontId="3" fillId="0" borderId="46" xfId="9" applyFont="1" applyBorder="1" applyAlignment="1">
      <alignment horizontal="center" vertical="center" wrapText="1"/>
    </xf>
    <xf numFmtId="0" fontId="3" fillId="0" borderId="1" xfId="0" applyFont="1" applyBorder="1" applyAlignment="1">
      <alignment horizontal="center" vertical="center"/>
    </xf>
    <xf numFmtId="0" fontId="12" fillId="0" borderId="53" xfId="0" applyFont="1" applyBorder="1" applyAlignment="1">
      <alignment horizontal="left" vertical="center" wrapText="1"/>
    </xf>
    <xf numFmtId="0" fontId="12" fillId="0" borderId="16" xfId="0" applyFont="1" applyBorder="1" applyAlignment="1">
      <alignment horizontal="left" vertical="center" wrapText="1"/>
    </xf>
    <xf numFmtId="0" fontId="12" fillId="0" borderId="54" xfId="0" applyFont="1" applyBorder="1" applyAlignment="1">
      <alignment horizontal="left" vertical="center" wrapText="1"/>
    </xf>
    <xf numFmtId="0" fontId="3" fillId="0" borderId="41" xfId="0" applyFont="1" applyBorder="1" applyAlignment="1">
      <alignment horizontal="center" vertical="top"/>
    </xf>
    <xf numFmtId="0" fontId="3" fillId="0" borderId="45" xfId="0" applyFont="1" applyBorder="1" applyAlignment="1">
      <alignment horizontal="center" vertical="top"/>
    </xf>
    <xf numFmtId="0" fontId="2" fillId="0" borderId="37" xfId="0" applyFont="1" applyBorder="1" applyAlignment="1">
      <alignment horizontal="center" vertical="center"/>
    </xf>
    <xf numFmtId="0" fontId="2" fillId="0" borderId="2" xfId="0" applyFont="1" applyBorder="1" applyAlignment="1">
      <alignment horizontal="center" vertical="center"/>
    </xf>
    <xf numFmtId="0" fontId="5" fillId="2" borderId="1" xfId="9" applyFont="1" applyFill="1" applyBorder="1" applyAlignment="1">
      <alignment horizontal="center" vertical="top"/>
    </xf>
    <xf numFmtId="0" fontId="12" fillId="0" borderId="22" xfId="9" applyFont="1" applyBorder="1" applyAlignment="1">
      <alignment horizontal="left" vertical="top" wrapText="1"/>
    </xf>
    <xf numFmtId="0" fontId="3" fillId="0" borderId="0" xfId="9" applyFont="1" applyAlignment="1">
      <alignment horizontal="left" vertical="top" wrapText="1"/>
    </xf>
    <xf numFmtId="0" fontId="3" fillId="0" borderId="23" xfId="9" applyFont="1" applyBorder="1" applyAlignment="1">
      <alignment horizontal="left" vertical="top" wrapText="1"/>
    </xf>
    <xf numFmtId="0" fontId="3" fillId="0" borderId="22" xfId="9" applyFont="1" applyBorder="1" applyAlignment="1">
      <alignment horizontal="left" vertical="top" wrapText="1"/>
    </xf>
    <xf numFmtId="0" fontId="8" fillId="0" borderId="19" xfId="9" applyFont="1" applyBorder="1" applyAlignment="1">
      <alignment horizontal="center" vertical="top"/>
    </xf>
    <xf numFmtId="0" fontId="8" fillId="0" borderId="20" xfId="9" applyFont="1" applyBorder="1" applyAlignment="1">
      <alignment horizontal="center" vertical="top"/>
    </xf>
    <xf numFmtId="0" fontId="8" fillId="0" borderId="21" xfId="9" applyFont="1" applyBorder="1" applyAlignment="1">
      <alignment horizontal="center" vertical="top"/>
    </xf>
    <xf numFmtId="0" fontId="8" fillId="0" borderId="22" xfId="9" applyFont="1" applyBorder="1" applyAlignment="1">
      <alignment horizontal="center" vertical="top"/>
    </xf>
    <xf numFmtId="0" fontId="8" fillId="0" borderId="0" xfId="9" applyFont="1" applyAlignment="1">
      <alignment horizontal="center" vertical="top"/>
    </xf>
    <xf numFmtId="0" fontId="8" fillId="0" borderId="23" xfId="9" applyFont="1" applyBorder="1" applyAlignment="1">
      <alignment horizontal="center" vertical="top"/>
    </xf>
    <xf numFmtId="0" fontId="3" fillId="0" borderId="22" xfId="9" applyFont="1" applyBorder="1" applyAlignment="1">
      <alignment horizontal="right" vertical="top"/>
    </xf>
    <xf numFmtId="0" fontId="3" fillId="0" borderId="0" xfId="9" applyFont="1" applyAlignment="1">
      <alignment horizontal="right" vertical="top"/>
    </xf>
    <xf numFmtId="0" fontId="3" fillId="0" borderId="23" xfId="9" applyFont="1" applyBorder="1" applyAlignment="1">
      <alignment horizontal="right" vertical="top"/>
    </xf>
    <xf numFmtId="0" fontId="3" fillId="2" borderId="1" xfId="9" applyFont="1" applyFill="1" applyBorder="1" applyAlignment="1">
      <alignment horizontal="center" vertical="top"/>
    </xf>
    <xf numFmtId="0" fontId="5" fillId="2" borderId="36" xfId="0" applyFont="1" applyFill="1" applyBorder="1" applyAlignment="1">
      <alignment horizontal="center" vertical="top" wrapText="1"/>
    </xf>
    <xf numFmtId="0" fontId="5" fillId="2" borderId="24" xfId="9" applyFont="1" applyFill="1" applyBorder="1" applyAlignment="1">
      <alignment horizontal="center" vertical="top" wrapText="1"/>
    </xf>
    <xf numFmtId="0" fontId="5" fillId="2" borderId="2" xfId="9" applyFont="1" applyFill="1" applyBorder="1" applyAlignment="1">
      <alignment horizontal="center" vertical="top" wrapText="1"/>
    </xf>
    <xf numFmtId="0" fontId="5" fillId="2" borderId="1" xfId="9" applyFont="1" applyFill="1" applyBorder="1" applyAlignment="1">
      <alignment horizontal="center" vertical="top" wrapText="1"/>
    </xf>
    <xf numFmtId="0" fontId="5" fillId="2" borderId="2" xfId="9" applyFont="1" applyFill="1" applyBorder="1" applyAlignment="1">
      <alignment horizontal="center" vertical="top"/>
    </xf>
    <xf numFmtId="0" fontId="3" fillId="0" borderId="53" xfId="0" applyFont="1" applyBorder="1" applyAlignment="1">
      <alignment horizontal="left" vertical="top" wrapText="1"/>
    </xf>
    <xf numFmtId="0" fontId="3" fillId="0" borderId="16" xfId="0" applyFont="1" applyBorder="1" applyAlignment="1">
      <alignment horizontal="left" vertical="top" wrapText="1"/>
    </xf>
    <xf numFmtId="0" fontId="8" fillId="0" borderId="19" xfId="0" applyFont="1" applyBorder="1" applyAlignment="1">
      <alignment horizontal="center" vertical="top"/>
    </xf>
    <xf numFmtId="0" fontId="5" fillId="2" borderId="24" xfId="0" applyFont="1" applyFill="1" applyBorder="1" applyAlignment="1">
      <alignment horizontal="center" vertical="top" wrapText="1"/>
    </xf>
    <xf numFmtId="0" fontId="5" fillId="2" borderId="2" xfId="0" applyFont="1" applyFill="1" applyBorder="1" applyAlignment="1">
      <alignment horizontal="center" vertical="top" wrapText="1"/>
    </xf>
    <xf numFmtId="0" fontId="0" fillId="0" borderId="0" xfId="0" applyAlignment="1">
      <alignment horizontal="right" vertical="top"/>
    </xf>
    <xf numFmtId="0" fontId="5" fillId="2" borderId="7" xfId="0" applyFont="1" applyFill="1" applyBorder="1" applyAlignment="1">
      <alignment horizontal="center" vertical="top" wrapText="1"/>
    </xf>
    <xf numFmtId="0" fontId="13" fillId="0" borderId="0" xfId="0" applyFont="1" applyAlignment="1">
      <alignment horizontal="center"/>
    </xf>
    <xf numFmtId="0" fontId="13" fillId="0" borderId="0" xfId="0" applyFont="1" applyAlignment="1">
      <alignment horizontal="center" wrapText="1"/>
    </xf>
    <xf numFmtId="0" fontId="5" fillId="0" borderId="7" xfId="0" applyFont="1" applyBorder="1" applyAlignment="1">
      <alignment horizontal="center" vertical="center" wrapText="1"/>
    </xf>
    <xf numFmtId="0" fontId="5" fillId="0" borderId="2" xfId="0" applyFont="1" applyBorder="1" applyAlignment="1">
      <alignment horizontal="center" vertical="center" wrapText="1"/>
    </xf>
    <xf numFmtId="0" fontId="2" fillId="2" borderId="1" xfId="0" applyFont="1" applyFill="1" applyBorder="1" applyAlignment="1">
      <alignment horizontal="center" vertical="top" wrapText="1"/>
    </xf>
    <xf numFmtId="0" fontId="2" fillId="2" borderId="7" xfId="0" applyFont="1" applyFill="1" applyBorder="1" applyAlignment="1">
      <alignment horizontal="center" vertical="center" wrapText="1"/>
    </xf>
    <xf numFmtId="0" fontId="5" fillId="0" borderId="37" xfId="0" applyFont="1" applyBorder="1" applyAlignment="1">
      <alignment horizontal="center" vertical="center" wrapText="1"/>
    </xf>
    <xf numFmtId="0" fontId="13" fillId="0" borderId="22" xfId="0" applyFont="1" applyBorder="1" applyAlignment="1">
      <alignment horizontal="center" wrapText="1"/>
    </xf>
    <xf numFmtId="0" fontId="13" fillId="0" borderId="23" xfId="0" applyFont="1" applyBorder="1" applyAlignment="1">
      <alignment horizontal="center" wrapText="1"/>
    </xf>
    <xf numFmtId="0" fontId="2" fillId="2" borderId="24"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5" fillId="2" borderId="15" xfId="7" applyFont="1" applyFill="1" applyBorder="1" applyAlignment="1">
      <alignment horizontal="center" vertical="center" wrapText="1"/>
    </xf>
    <xf numFmtId="0" fontId="5" fillId="2" borderId="14" xfId="7" applyFont="1" applyFill="1" applyBorder="1" applyAlignment="1">
      <alignment horizontal="center" vertical="center" wrapText="1"/>
    </xf>
    <xf numFmtId="0" fontId="5" fillId="2" borderId="40" xfId="7" applyFont="1" applyFill="1" applyBorder="1" applyAlignment="1">
      <alignment horizontal="center" vertical="center" wrapText="1"/>
    </xf>
    <xf numFmtId="0" fontId="5" fillId="2" borderId="6" xfId="7" applyFont="1" applyFill="1" applyBorder="1" applyAlignment="1">
      <alignment horizontal="center" vertical="center" wrapText="1"/>
    </xf>
    <xf numFmtId="0" fontId="5" fillId="2" borderId="1" xfId="7" applyFont="1" applyFill="1" applyBorder="1" applyAlignment="1">
      <alignment horizontal="center" vertical="center" wrapText="1"/>
    </xf>
    <xf numFmtId="0" fontId="5" fillId="2" borderId="3" xfId="7" applyFont="1" applyFill="1" applyBorder="1" applyAlignment="1">
      <alignment horizontal="center" vertical="center" wrapText="1"/>
    </xf>
    <xf numFmtId="0" fontId="5" fillId="2" borderId="8" xfId="7" applyFont="1" applyFill="1" applyBorder="1" applyAlignment="1">
      <alignment horizontal="center" vertical="center" wrapText="1"/>
    </xf>
    <xf numFmtId="0" fontId="5" fillId="2" borderId="7" xfId="7" applyFont="1" applyFill="1" applyBorder="1" applyAlignment="1">
      <alignment horizontal="center" vertical="center" wrapText="1"/>
    </xf>
    <xf numFmtId="0" fontId="5" fillId="2" borderId="2" xfId="7" applyFont="1" applyFill="1" applyBorder="1" applyAlignment="1">
      <alignment horizontal="center" vertical="center" wrapText="1"/>
    </xf>
    <xf numFmtId="0" fontId="3" fillId="0" borderId="0" xfId="7" applyFont="1" applyAlignment="1">
      <alignment horizontal="right" vertical="center"/>
    </xf>
    <xf numFmtId="0" fontId="5" fillId="0" borderId="1" xfId="7" applyFont="1" applyBorder="1" applyAlignment="1">
      <alignment horizontal="left" vertical="center"/>
    </xf>
    <xf numFmtId="0" fontId="3" fillId="0" borderId="5" xfId="7" applyFont="1" applyBorder="1" applyAlignment="1">
      <alignment horizontal="right" vertical="center"/>
    </xf>
    <xf numFmtId="0" fontId="8" fillId="0" borderId="0" xfId="7" applyFont="1" applyAlignment="1">
      <alignment horizontal="center" vertical="center"/>
    </xf>
    <xf numFmtId="0" fontId="5" fillId="0" borderId="7" xfId="0" applyFont="1" applyBorder="1" applyAlignment="1">
      <alignment horizontal="left" vertical="center"/>
    </xf>
    <xf numFmtId="0" fontId="5" fillId="0" borderId="2" xfId="0" applyFont="1" applyBorder="1" applyAlignment="1">
      <alignment horizontal="left" vertical="center"/>
    </xf>
    <xf numFmtId="0" fontId="5" fillId="0" borderId="4" xfId="0" applyFont="1" applyBorder="1" applyAlignment="1">
      <alignment horizontal="left" vertical="center"/>
    </xf>
    <xf numFmtId="0" fontId="5" fillId="2" borderId="4" xfId="7" applyFont="1" applyFill="1" applyBorder="1" applyAlignment="1">
      <alignment horizontal="center" vertical="center" wrapText="1"/>
    </xf>
    <xf numFmtId="0" fontId="8" fillId="0" borderId="19" xfId="7" applyFont="1" applyBorder="1" applyAlignment="1">
      <alignment horizontal="center" vertical="center"/>
    </xf>
    <xf numFmtId="0" fontId="8" fillId="0" borderId="20" xfId="7" applyFont="1" applyBorder="1" applyAlignment="1">
      <alignment horizontal="center" vertical="center"/>
    </xf>
    <xf numFmtId="0" fontId="8" fillId="0" borderId="22" xfId="7" applyFont="1" applyBorder="1" applyAlignment="1">
      <alignment horizontal="center" vertical="center"/>
    </xf>
    <xf numFmtId="0" fontId="5" fillId="2" borderId="3" xfId="7" applyFont="1" applyFill="1" applyBorder="1" applyAlignment="1">
      <alignment horizontal="center" vertical="top" wrapText="1"/>
    </xf>
    <xf numFmtId="0" fontId="5" fillId="2" borderId="8" xfId="7" applyFont="1" applyFill="1" applyBorder="1" applyAlignment="1">
      <alignment horizontal="center" vertical="top" wrapText="1"/>
    </xf>
    <xf numFmtId="0" fontId="5" fillId="2" borderId="7" xfId="7" applyFont="1" applyFill="1" applyBorder="1" applyAlignment="1">
      <alignment horizontal="center" vertical="top" wrapText="1"/>
    </xf>
    <xf numFmtId="0" fontId="5" fillId="2" borderId="4" xfId="7" applyFont="1" applyFill="1" applyBorder="1" applyAlignment="1">
      <alignment horizontal="center" vertical="top" wrapText="1"/>
    </xf>
    <xf numFmtId="0" fontId="5" fillId="2" borderId="2" xfId="7" applyFont="1" applyFill="1" applyBorder="1" applyAlignment="1">
      <alignment horizontal="center" vertical="top" wrapText="1"/>
    </xf>
    <xf numFmtId="0" fontId="5" fillId="2" borderId="41" xfId="7" applyFont="1" applyFill="1" applyBorder="1" applyAlignment="1">
      <alignment horizontal="center" vertical="center" wrapText="1"/>
    </xf>
    <xf numFmtId="0" fontId="5" fillId="2" borderId="43" xfId="7" applyFont="1" applyFill="1" applyBorder="1" applyAlignment="1">
      <alignment horizontal="center" vertical="center" wrapText="1"/>
    </xf>
    <xf numFmtId="0" fontId="5" fillId="2" borderId="45" xfId="7" applyFont="1" applyFill="1" applyBorder="1" applyAlignment="1">
      <alignment horizontal="center" vertical="center" wrapText="1"/>
    </xf>
    <xf numFmtId="0" fontId="5" fillId="2" borderId="5" xfId="7" applyFont="1" applyFill="1" applyBorder="1" applyAlignment="1">
      <alignment horizontal="center" vertical="top" wrapText="1"/>
    </xf>
    <xf numFmtId="0" fontId="5" fillId="2" borderId="58" xfId="7" applyFont="1" applyFill="1" applyBorder="1" applyAlignment="1">
      <alignment horizontal="center" vertical="top" wrapText="1"/>
    </xf>
    <xf numFmtId="0" fontId="5" fillId="2" borderId="68" xfId="7" applyFont="1" applyFill="1" applyBorder="1" applyAlignment="1">
      <alignment horizontal="center" vertical="top" wrapText="1"/>
    </xf>
    <xf numFmtId="0" fontId="5" fillId="2" borderId="6" xfId="7" applyFont="1" applyFill="1" applyBorder="1" applyAlignment="1">
      <alignment horizontal="center" vertical="top" wrapText="1"/>
    </xf>
    <xf numFmtId="0" fontId="5" fillId="2" borderId="1" xfId="7" applyFont="1" applyFill="1" applyBorder="1" applyAlignment="1">
      <alignment horizontal="center" vertical="top" wrapText="1"/>
    </xf>
    <xf numFmtId="0" fontId="5" fillId="2" borderId="42" xfId="7" applyFont="1" applyFill="1" applyBorder="1" applyAlignment="1">
      <alignment horizontal="center" vertical="center" wrapText="1"/>
    </xf>
    <xf numFmtId="0" fontId="5" fillId="2" borderId="44" xfId="7" applyFont="1" applyFill="1" applyBorder="1" applyAlignment="1">
      <alignment horizontal="center" vertical="center" wrapText="1"/>
    </xf>
    <xf numFmtId="0" fontId="5" fillId="2" borderId="46" xfId="7" applyFont="1" applyFill="1" applyBorder="1" applyAlignment="1">
      <alignment horizontal="center" vertical="center" wrapText="1"/>
    </xf>
    <xf numFmtId="0" fontId="5" fillId="0" borderId="37" xfId="0" applyFont="1" applyBorder="1" applyAlignment="1">
      <alignment horizontal="left" vertical="center"/>
    </xf>
    <xf numFmtId="0" fontId="5" fillId="0" borderId="36" xfId="7" applyFont="1" applyBorder="1" applyAlignment="1">
      <alignment horizontal="left" vertical="center"/>
    </xf>
    <xf numFmtId="0" fontId="5" fillId="0" borderId="0" xfId="0" applyFont="1" applyAlignment="1">
      <alignment horizontal="right" vertical="center"/>
    </xf>
    <xf numFmtId="2" fontId="5" fillId="0" borderId="22" xfId="0" applyNumberFormat="1" applyFont="1" applyBorder="1" applyAlignment="1">
      <alignment horizontal="right" vertical="center"/>
    </xf>
    <xf numFmtId="0" fontId="5" fillId="0" borderId="23" xfId="0" applyFont="1" applyBorder="1" applyAlignment="1">
      <alignment horizontal="right" vertical="center"/>
    </xf>
    <xf numFmtId="0" fontId="5" fillId="0" borderId="1" xfId="0" applyFont="1" applyBorder="1" applyAlignment="1">
      <alignment horizontal="center" vertical="center" wrapText="1"/>
    </xf>
    <xf numFmtId="0" fontId="33" fillId="0" borderId="0" xfId="72" applyFont="1" applyFill="1" applyAlignment="1" applyProtection="1">
      <alignment horizontal="left" vertical="center"/>
    </xf>
    <xf numFmtId="0" fontId="41" fillId="0" borderId="0" xfId="74" applyFill="1" applyAlignment="1" applyProtection="1">
      <alignment horizontal="left" vertical="center"/>
    </xf>
    <xf numFmtId="0" fontId="38" fillId="0" borderId="0" xfId="72" applyFont="1" applyFill="1" applyAlignment="1" applyProtection="1">
      <alignment horizontal="left" vertical="center"/>
    </xf>
    <xf numFmtId="0" fontId="41" fillId="0" borderId="33" xfId="74" applyFill="1" applyBorder="1" applyAlignment="1" applyProtection="1">
      <alignment horizontal="left" vertical="center"/>
    </xf>
    <xf numFmtId="0" fontId="38" fillId="0" borderId="34" xfId="72" applyFont="1" applyFill="1" applyBorder="1" applyAlignment="1" applyProtection="1">
      <alignment horizontal="left" vertical="center"/>
    </xf>
    <xf numFmtId="0" fontId="38" fillId="0" borderId="35" xfId="72" applyFont="1" applyFill="1" applyBorder="1" applyAlignment="1" applyProtection="1">
      <alignment horizontal="left" vertical="center"/>
    </xf>
    <xf numFmtId="0" fontId="13" fillId="0" borderId="0" xfId="0" applyFont="1" applyAlignment="1">
      <alignment horizontal="center" vertical="top" wrapText="1"/>
    </xf>
    <xf numFmtId="0" fontId="13" fillId="0" borderId="20" xfId="0" applyFont="1" applyBorder="1" applyAlignment="1">
      <alignment horizontal="center" vertical="top" wrapText="1"/>
    </xf>
    <xf numFmtId="0" fontId="13" fillId="0" borderId="21" xfId="0" applyFont="1" applyBorder="1" applyAlignment="1">
      <alignment horizontal="center" vertical="top" wrapText="1"/>
    </xf>
    <xf numFmtId="0" fontId="13" fillId="0" borderId="22" xfId="0" applyFont="1" applyBorder="1" applyAlignment="1">
      <alignment horizontal="center" vertical="top" wrapText="1"/>
    </xf>
    <xf numFmtId="0" fontId="13" fillId="0" borderId="23" xfId="0" applyFont="1" applyBorder="1" applyAlignment="1">
      <alignment horizontal="center" vertical="top" wrapText="1"/>
    </xf>
    <xf numFmtId="0" fontId="19" fillId="0" borderId="5" xfId="0" applyFont="1" applyBorder="1" applyAlignment="1">
      <alignment horizontal="right" vertical="top"/>
    </xf>
    <xf numFmtId="0" fontId="19" fillId="0" borderId="38" xfId="0" applyFont="1" applyBorder="1" applyAlignment="1">
      <alignment horizontal="right" vertical="top"/>
    </xf>
    <xf numFmtId="2" fontId="19" fillId="0" borderId="5" xfId="0" applyNumberFormat="1" applyFont="1" applyBorder="1" applyAlignment="1">
      <alignment horizontal="right" vertical="top"/>
    </xf>
    <xf numFmtId="0" fontId="19" fillId="0" borderId="39" xfId="0" applyFont="1" applyBorder="1" applyAlignment="1">
      <alignment horizontal="right" vertical="top"/>
    </xf>
    <xf numFmtId="0" fontId="2" fillId="0" borderId="1" xfId="0" applyFont="1" applyBorder="1" applyAlignment="1">
      <alignment vertical="top"/>
    </xf>
    <xf numFmtId="0" fontId="2" fillId="0" borderId="36" xfId="0" applyFont="1" applyBorder="1" applyAlignment="1">
      <alignment horizontal="right" vertical="top"/>
    </xf>
    <xf numFmtId="0" fontId="2" fillId="0" borderId="1" xfId="0" applyFont="1" applyBorder="1" applyAlignment="1">
      <alignment horizontal="right" vertical="top"/>
    </xf>
    <xf numFmtId="0" fontId="2" fillId="2" borderId="24" xfId="0" applyFont="1" applyFill="1" applyBorder="1" applyAlignment="1">
      <alignment horizontal="center" vertical="top" wrapText="1"/>
    </xf>
    <xf numFmtId="0" fontId="2" fillId="0" borderId="1" xfId="0" applyFont="1" applyBorder="1" applyAlignment="1">
      <alignment vertical="top" wrapText="1"/>
    </xf>
    <xf numFmtId="0" fontId="2" fillId="0" borderId="36" xfId="0" applyFont="1" applyBorder="1" applyAlignment="1">
      <alignment vertical="top" wrapText="1"/>
    </xf>
    <xf numFmtId="0" fontId="2" fillId="2" borderId="7" xfId="0" applyFont="1" applyFill="1" applyBorder="1" applyAlignment="1">
      <alignment horizontal="center" vertical="top" wrapText="1"/>
    </xf>
    <xf numFmtId="0" fontId="2" fillId="2" borderId="36" xfId="0" applyFont="1" applyFill="1" applyBorder="1" applyAlignment="1">
      <alignment horizontal="center" vertical="top" wrapText="1"/>
    </xf>
    <xf numFmtId="0" fontId="2" fillId="0" borderId="36" xfId="0" applyFont="1" applyBorder="1" applyAlignment="1">
      <alignment vertical="top"/>
    </xf>
    <xf numFmtId="0" fontId="2" fillId="0" borderId="47" xfId="0" applyFont="1" applyBorder="1" applyAlignment="1">
      <alignment horizontal="right" vertical="top"/>
    </xf>
    <xf numFmtId="0" fontId="2" fillId="0" borderId="48" xfId="0" applyFont="1" applyBorder="1" applyAlignment="1">
      <alignment horizontal="right" vertical="top"/>
    </xf>
    <xf numFmtId="0" fontId="2" fillId="0" borderId="36" xfId="0" applyFont="1" applyBorder="1" applyAlignment="1">
      <alignment horizontal="center" vertical="top" wrapText="1"/>
    </xf>
    <xf numFmtId="0" fontId="2" fillId="0" borderId="1" xfId="0" applyFont="1" applyBorder="1" applyAlignment="1">
      <alignment horizontal="center" vertical="top"/>
    </xf>
    <xf numFmtId="0" fontId="2" fillId="0" borderId="45" xfId="0" applyFont="1" applyBorder="1" applyAlignment="1">
      <alignment vertical="top"/>
    </xf>
    <xf numFmtId="0" fontId="2" fillId="0" borderId="6" xfId="0" applyFont="1" applyBorder="1" applyAlignment="1">
      <alignment vertical="top"/>
    </xf>
    <xf numFmtId="0" fontId="2" fillId="0" borderId="1" xfId="0" applyFont="1" applyBorder="1" applyAlignment="1">
      <alignment horizontal="center" vertical="top" wrapText="1"/>
    </xf>
    <xf numFmtId="0" fontId="2" fillId="0" borderId="36" xfId="0" applyFont="1" applyBorder="1" applyAlignment="1">
      <alignment horizontal="center" vertical="top"/>
    </xf>
    <xf numFmtId="0" fontId="2" fillId="0" borderId="19" xfId="0" applyFont="1" applyBorder="1" applyAlignment="1">
      <alignment horizontal="center" vertical="center"/>
    </xf>
    <xf numFmtId="0" fontId="2" fillId="0" borderId="20" xfId="0" applyFont="1" applyBorder="1" applyAlignment="1">
      <alignment horizontal="center" vertical="center"/>
    </xf>
    <xf numFmtId="0" fontId="2" fillId="0" borderId="21" xfId="0" applyFont="1" applyBorder="1" applyAlignment="1">
      <alignment horizontal="center" vertical="center"/>
    </xf>
    <xf numFmtId="0" fontId="2" fillId="0" borderId="22" xfId="0" applyFont="1" applyBorder="1" applyAlignment="1">
      <alignment horizontal="center" vertical="center"/>
    </xf>
    <xf numFmtId="0" fontId="2" fillId="0" borderId="0" xfId="0" applyFont="1" applyAlignment="1">
      <alignment horizontal="center" vertical="center"/>
    </xf>
    <xf numFmtId="0" fontId="2" fillId="0" borderId="23" xfId="0" applyFont="1" applyBorder="1" applyAlignment="1">
      <alignment horizontal="center" vertical="center"/>
    </xf>
    <xf numFmtId="0" fontId="0" fillId="0" borderId="33" xfId="0" applyBorder="1" applyAlignment="1">
      <alignment horizontal="left" wrapText="1"/>
    </xf>
    <xf numFmtId="0" fontId="0" fillId="0" borderId="34" xfId="0" applyBorder="1" applyAlignment="1">
      <alignment horizontal="left" wrapText="1"/>
    </xf>
    <xf numFmtId="0" fontId="0" fillId="0" borderId="35" xfId="0" applyBorder="1" applyAlignment="1">
      <alignment horizontal="left" wrapText="1"/>
    </xf>
    <xf numFmtId="0" fontId="19" fillId="0" borderId="22" xfId="0" applyFont="1" applyBorder="1" applyAlignment="1">
      <alignment horizontal="left" vertical="top" wrapText="1"/>
    </xf>
    <xf numFmtId="0" fontId="19" fillId="0" borderId="0" xfId="0" applyFont="1" applyAlignment="1">
      <alignment horizontal="left" vertical="top" wrapText="1"/>
    </xf>
    <xf numFmtId="0" fontId="19" fillId="0" borderId="23" xfId="0" applyFont="1" applyBorder="1" applyAlignment="1">
      <alignment horizontal="left" vertical="top" wrapText="1"/>
    </xf>
    <xf numFmtId="0" fontId="20" fillId="0" borderId="22" xfId="0" applyFont="1" applyBorder="1" applyAlignment="1">
      <alignment horizontal="justify" vertical="top" wrapText="1"/>
    </xf>
    <xf numFmtId="0" fontId="20" fillId="0" borderId="0" xfId="0" applyFont="1" applyAlignment="1">
      <alignment horizontal="justify" vertical="top" wrapText="1"/>
    </xf>
    <xf numFmtId="0" fontId="20" fillId="0" borderId="23" xfId="0" applyFont="1" applyBorder="1" applyAlignment="1">
      <alignment horizontal="justify" vertical="top" wrapText="1"/>
    </xf>
    <xf numFmtId="0" fontId="20" fillId="0" borderId="33" xfId="0" applyFont="1" applyBorder="1" applyAlignment="1">
      <alignment horizontal="justify" vertical="top" wrapText="1"/>
    </xf>
    <xf numFmtId="0" fontId="20" fillId="0" borderId="34" xfId="0" applyFont="1" applyBorder="1" applyAlignment="1">
      <alignment horizontal="justify" vertical="top" wrapText="1"/>
    </xf>
    <xf numFmtId="0" fontId="20" fillId="0" borderId="35" xfId="0" applyFont="1" applyBorder="1" applyAlignment="1">
      <alignment horizontal="justify" vertical="top" wrapText="1"/>
    </xf>
    <xf numFmtId="0" fontId="20" fillId="0" borderId="22" xfId="0" applyFont="1" applyBorder="1" applyAlignment="1">
      <alignment horizontal="justify" vertical="center" wrapText="1"/>
    </xf>
    <xf numFmtId="0" fontId="20" fillId="0" borderId="0" xfId="0" applyFont="1" applyAlignment="1">
      <alignment horizontal="justify" vertical="center" wrapText="1"/>
    </xf>
    <xf numFmtId="0" fontId="20" fillId="0" borderId="23" xfId="0" applyFont="1" applyBorder="1" applyAlignment="1">
      <alignment horizontal="justify" vertical="center" wrapText="1"/>
    </xf>
    <xf numFmtId="0" fontId="20" fillId="0" borderId="22" xfId="0" applyFont="1" applyBorder="1" applyAlignment="1">
      <alignment horizontal="left" vertical="center" wrapText="1"/>
    </xf>
    <xf numFmtId="0" fontId="20" fillId="0" borderId="0" xfId="0" applyFont="1" applyAlignment="1">
      <alignment horizontal="left" vertical="center" wrapText="1"/>
    </xf>
    <xf numFmtId="0" fontId="20" fillId="0" borderId="23" xfId="0" applyFont="1" applyBorder="1" applyAlignment="1">
      <alignment horizontal="left" vertical="center" wrapText="1"/>
    </xf>
    <xf numFmtId="0" fontId="20" fillId="0" borderId="28" xfId="0" applyFont="1" applyBorder="1" applyAlignment="1">
      <alignment vertical="center" wrapText="1"/>
    </xf>
    <xf numFmtId="0" fontId="20" fillId="0" borderId="30" xfId="0" applyFont="1" applyBorder="1" applyAlignment="1">
      <alignment vertical="center" wrapText="1"/>
    </xf>
    <xf numFmtId="0" fontId="20" fillId="0" borderId="32" xfId="0" applyFont="1" applyBorder="1" applyAlignment="1">
      <alignment vertical="center" wrapText="1"/>
    </xf>
  </cellXfs>
  <cellStyles count="96">
    <cellStyle name="40% - Accent3" xfId="78" builtinId="39"/>
    <cellStyle name="Comma" xfId="77" builtinId="3"/>
    <cellStyle name="Comma 2" xfId="11" xr:uid="{00000000-0005-0000-0000-000000000000}"/>
    <cellStyle name="Comma 2 2" xfId="75" xr:uid="{00000000-0005-0000-0000-000001000000}"/>
    <cellStyle name="Comma 2 3" xfId="87" xr:uid="{121F87DA-DD8D-4F56-82EB-AD4818C9214A}"/>
    <cellStyle name="Comma 3" xfId="12" xr:uid="{00000000-0005-0000-0000-000002000000}"/>
    <cellStyle name="Comma 3 2" xfId="76" xr:uid="{00000000-0005-0000-0000-000003000000}"/>
    <cellStyle name="Hyperlink" xfId="74" builtinId="8"/>
    <cellStyle name="Hyperlink 2" xfId="13" xr:uid="{00000000-0005-0000-0000-000005000000}"/>
    <cellStyle name="Hyperlink 2 2" xfId="92" xr:uid="{C3F76BDB-4216-476C-B943-AF7349865DED}"/>
    <cellStyle name="Hyperlink 3" xfId="72" xr:uid="{00000000-0005-0000-0000-000006000000}"/>
    <cellStyle name="Hyperlink 4" xfId="86" xr:uid="{8B7CD43B-1B4D-48B7-B7A5-B38416B56C0D}"/>
    <cellStyle name="Normal" xfId="0" builtinId="0"/>
    <cellStyle name="Normal 10" xfId="9" xr:uid="{00000000-0005-0000-0000-000008000000}"/>
    <cellStyle name="Normal 10 2" xfId="14" xr:uid="{00000000-0005-0000-0000-000009000000}"/>
    <cellStyle name="Normal 11" xfId="15" xr:uid="{00000000-0005-0000-0000-00000A000000}"/>
    <cellStyle name="Normal 12" xfId="16" xr:uid="{00000000-0005-0000-0000-00000B000000}"/>
    <cellStyle name="Normal 13" xfId="17" xr:uid="{00000000-0005-0000-0000-00000C000000}"/>
    <cellStyle name="Normal 14" xfId="1" xr:uid="{00000000-0005-0000-0000-00000D000000}"/>
    <cellStyle name="Normal 14 2" xfId="18" xr:uid="{00000000-0005-0000-0000-00000E000000}"/>
    <cellStyle name="Normal 14 2 2" xfId="19" xr:uid="{00000000-0005-0000-0000-00000F000000}"/>
    <cellStyle name="Normal 14 2 2 2" xfId="20" xr:uid="{00000000-0005-0000-0000-000010000000}"/>
    <cellStyle name="Normal 14 2 2 2 2" xfId="21" xr:uid="{00000000-0005-0000-0000-000011000000}"/>
    <cellStyle name="Normal 14 2 2 3" xfId="22" xr:uid="{00000000-0005-0000-0000-000012000000}"/>
    <cellStyle name="Normal 15" xfId="2" xr:uid="{00000000-0005-0000-0000-000013000000}"/>
    <cellStyle name="Normal 16" xfId="3" xr:uid="{00000000-0005-0000-0000-000014000000}"/>
    <cellStyle name="Normal 17" xfId="23" xr:uid="{00000000-0005-0000-0000-000015000000}"/>
    <cellStyle name="Normal 18" xfId="10" xr:uid="{00000000-0005-0000-0000-000016000000}"/>
    <cellStyle name="Normal 19" xfId="94" xr:uid="{2ABD538A-5803-4F51-8008-1E176772D534}"/>
    <cellStyle name="Normal 2" xfId="5" xr:uid="{00000000-0005-0000-0000-000017000000}"/>
    <cellStyle name="Normal 2 2" xfId="24" xr:uid="{00000000-0005-0000-0000-000018000000}"/>
    <cellStyle name="Normal 2 2 2" xfId="25" xr:uid="{00000000-0005-0000-0000-000019000000}"/>
    <cellStyle name="Normal 2 3" xfId="26" xr:uid="{00000000-0005-0000-0000-00001A000000}"/>
    <cellStyle name="Normal 2 4" xfId="27" xr:uid="{00000000-0005-0000-0000-00001B000000}"/>
    <cellStyle name="Normal 2 4 2" xfId="28" xr:uid="{00000000-0005-0000-0000-00001C000000}"/>
    <cellStyle name="Normal 2 5" xfId="29" xr:uid="{00000000-0005-0000-0000-00001D000000}"/>
    <cellStyle name="Normal 2 5 2" xfId="30" xr:uid="{00000000-0005-0000-0000-00001E000000}"/>
    <cellStyle name="Normal 2 6" xfId="31" xr:uid="{00000000-0005-0000-0000-00001F000000}"/>
    <cellStyle name="Normal 2 7" xfId="32" xr:uid="{00000000-0005-0000-0000-000020000000}"/>
    <cellStyle name="Normal 2 7 2" xfId="33" xr:uid="{00000000-0005-0000-0000-000021000000}"/>
    <cellStyle name="Normal 3" xfId="4" xr:uid="{00000000-0005-0000-0000-000022000000}"/>
    <cellStyle name="Normal 3 2" xfId="34" xr:uid="{00000000-0005-0000-0000-000023000000}"/>
    <cellStyle name="Normal 3 2 2" xfId="35" xr:uid="{00000000-0005-0000-0000-000024000000}"/>
    <cellStyle name="Normal 3 2 2 2" xfId="36" xr:uid="{00000000-0005-0000-0000-000025000000}"/>
    <cellStyle name="Normal 3 2 3" xfId="37" xr:uid="{00000000-0005-0000-0000-000026000000}"/>
    <cellStyle name="Normal 3 2 3 2" xfId="38" xr:uid="{00000000-0005-0000-0000-000027000000}"/>
    <cellStyle name="Normal 3 2 3 3" xfId="39" xr:uid="{00000000-0005-0000-0000-000028000000}"/>
    <cellStyle name="Normal 3 2 3 4" xfId="40" xr:uid="{00000000-0005-0000-0000-000029000000}"/>
    <cellStyle name="Normal 3 3" xfId="41" xr:uid="{00000000-0005-0000-0000-00002A000000}"/>
    <cellStyle name="Normal 3 3 2" xfId="42" xr:uid="{00000000-0005-0000-0000-00002B000000}"/>
    <cellStyle name="Normal 3 3 2 2" xfId="43" xr:uid="{00000000-0005-0000-0000-00002C000000}"/>
    <cellStyle name="Normal 3 4" xfId="44" xr:uid="{00000000-0005-0000-0000-00002D000000}"/>
    <cellStyle name="Normal 3 4 2" xfId="45" xr:uid="{00000000-0005-0000-0000-00002E000000}"/>
    <cellStyle name="Normal 3 4 2 2" xfId="81" xr:uid="{61D36041-2975-4DC9-A725-379C0FCD3482}"/>
    <cellStyle name="Normal 3 5" xfId="46" xr:uid="{00000000-0005-0000-0000-00002F000000}"/>
    <cellStyle name="Normal 3 6" xfId="95" xr:uid="{9DB82979-76C8-4DD2-AF67-2CBA2E0C3DE0}"/>
    <cellStyle name="Normal 4" xfId="47" xr:uid="{00000000-0005-0000-0000-000030000000}"/>
    <cellStyle name="Normal 4 2" xfId="48" xr:uid="{00000000-0005-0000-0000-000031000000}"/>
    <cellStyle name="Normal 4 2 2" xfId="49" xr:uid="{00000000-0005-0000-0000-000032000000}"/>
    <cellStyle name="Normal 4 2 3" xfId="82" xr:uid="{FAC2D169-1EE2-483E-A666-249FB98468A8}"/>
    <cellStyle name="Normal 5" xfId="6" xr:uid="{00000000-0005-0000-0000-000033000000}"/>
    <cellStyle name="Normal 5 2" xfId="50" xr:uid="{00000000-0005-0000-0000-000034000000}"/>
    <cellStyle name="Normal 5 2 2" xfId="51" xr:uid="{00000000-0005-0000-0000-000035000000}"/>
    <cellStyle name="Normal 5 2 2 2" xfId="52" xr:uid="{00000000-0005-0000-0000-000036000000}"/>
    <cellStyle name="Normal 5 2 2 2 2" xfId="53" xr:uid="{00000000-0005-0000-0000-000037000000}"/>
    <cellStyle name="Normal 5 2 3" xfId="54" xr:uid="{00000000-0005-0000-0000-000038000000}"/>
    <cellStyle name="Normal 5 2 3 2" xfId="55" xr:uid="{00000000-0005-0000-0000-000039000000}"/>
    <cellStyle name="Normal 5 3" xfId="91" xr:uid="{848ADA45-BCA9-4A7B-A107-0878757ED58B}"/>
    <cellStyle name="Normal 5 3 2" xfId="88" xr:uid="{E563A6C7-2262-43F1-A8C1-AC9E82B8FAB6}"/>
    <cellStyle name="Normal 6" xfId="7" xr:uid="{00000000-0005-0000-0000-00003A000000}"/>
    <cellStyle name="Normal 6 2" xfId="90" xr:uid="{10802FB3-6B89-45BD-B2BD-B00CADEFD8DB}"/>
    <cellStyle name="Normal 7" xfId="56" xr:uid="{00000000-0005-0000-0000-00003B000000}"/>
    <cellStyle name="Normal 7 2" xfId="57" xr:uid="{00000000-0005-0000-0000-00003C000000}"/>
    <cellStyle name="Normal 7 2 2" xfId="58" xr:uid="{00000000-0005-0000-0000-00003D000000}"/>
    <cellStyle name="Normal 7 3" xfId="59" xr:uid="{00000000-0005-0000-0000-00003E000000}"/>
    <cellStyle name="Normal 7 3 2" xfId="60" xr:uid="{00000000-0005-0000-0000-00003F000000}"/>
    <cellStyle name="Normal 7 4" xfId="61" xr:uid="{00000000-0005-0000-0000-000040000000}"/>
    <cellStyle name="Normal 7 4 2" xfId="62" xr:uid="{00000000-0005-0000-0000-000041000000}"/>
    <cellStyle name="Normal 7 5" xfId="63" xr:uid="{00000000-0005-0000-0000-000042000000}"/>
    <cellStyle name="Normal 7 5 2" xfId="64" xr:uid="{00000000-0005-0000-0000-000043000000}"/>
    <cellStyle name="Normal 7 6" xfId="65" xr:uid="{00000000-0005-0000-0000-000044000000}"/>
    <cellStyle name="Normal 8" xfId="66" xr:uid="{00000000-0005-0000-0000-000045000000}"/>
    <cellStyle name="Normal 8 2" xfId="67" xr:uid="{00000000-0005-0000-0000-000046000000}"/>
    <cellStyle name="Normal 8 2 2" xfId="68" xr:uid="{00000000-0005-0000-0000-000047000000}"/>
    <cellStyle name="Normal 8 2 2 2" xfId="84" xr:uid="{15528F54-5EB6-4E46-8547-F8FD0F195D25}"/>
    <cellStyle name="Normal 8 3 2" xfId="89" xr:uid="{19545800-101A-4677-ADF2-7C0F64A3F883}"/>
    <cellStyle name="Normal 8 4" xfId="83" xr:uid="{858E5CEC-EC32-4DB3-9943-C349437C125F}"/>
    <cellStyle name="Normal 9" xfId="8" xr:uid="{00000000-0005-0000-0000-000048000000}"/>
    <cellStyle name="Normal 9 2" xfId="73" xr:uid="{00000000-0005-0000-0000-000049000000}"/>
    <cellStyle name="Normal 9 3" xfId="85" xr:uid="{BB68460A-D71A-4C64-AAAD-F733549A6B9B}"/>
    <cellStyle name="Normal_Sheet1" xfId="93" xr:uid="{EEBF7591-3F3E-4517-BC9F-E2385D70592D}"/>
    <cellStyle name="Normal_TABLE-1 2" xfId="80" xr:uid="{615609DC-4B1E-4AEC-841A-D82015E9E210}"/>
    <cellStyle name="Normal_TABLE-3" xfId="79" xr:uid="{5BB2386E-AFCF-452D-98B8-FAE4FE0C796E}"/>
    <cellStyle name="Percent 2" xfId="69" xr:uid="{00000000-0005-0000-0000-00004A000000}"/>
    <cellStyle name="Percent 3" xfId="70" xr:uid="{00000000-0005-0000-0000-00004B000000}"/>
    <cellStyle name="Percent 4" xfId="71" xr:uid="{00000000-0005-0000-0000-00004C000000}"/>
  </cellStyles>
  <dxfs count="117">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4" tint="0.79998168889431442"/>
        </patternFill>
      </fill>
    </dxf>
    <dxf>
      <fill>
        <patternFill>
          <bgColor theme="8" tint="0.79998168889431442"/>
        </patternFill>
      </fill>
    </dxf>
    <dxf>
      <fill>
        <patternFill>
          <bgColor theme="4" tint="0.79998168889431442"/>
        </patternFill>
      </fill>
    </dxf>
    <dxf>
      <fill>
        <patternFill>
          <bgColor theme="8" tint="0.79998168889431442"/>
        </patternFill>
      </fill>
    </dxf>
    <dxf>
      <fill>
        <patternFill>
          <bgColor theme="4" tint="0.79998168889431442"/>
        </patternFill>
      </fill>
    </dxf>
    <dxf>
      <fill>
        <patternFill>
          <bgColor theme="8" tint="0.79998168889431442"/>
        </patternFill>
      </fill>
    </dxf>
    <dxf>
      <fill>
        <patternFill>
          <bgColor theme="4" tint="0.79998168889431442"/>
        </patternFill>
      </fill>
    </dxf>
    <dxf>
      <fill>
        <patternFill>
          <bgColor theme="8" tint="0.79998168889431442"/>
        </patternFill>
      </fill>
    </dxf>
    <dxf>
      <fill>
        <patternFill>
          <bgColor theme="4"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4"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4" tint="0.79998168889431442"/>
        </patternFill>
      </fill>
    </dxf>
    <dxf>
      <fill>
        <patternFill>
          <bgColor theme="8" tint="0.79998168889431442"/>
        </patternFill>
      </fill>
    </dxf>
    <dxf>
      <fill>
        <patternFill>
          <bgColor theme="8" tint="0.79998168889431442"/>
        </patternFill>
      </fill>
    </dxf>
    <dxf>
      <fill>
        <patternFill>
          <bgColor theme="4" tint="0.79998168889431442"/>
        </patternFill>
      </fill>
    </dxf>
    <dxf>
      <fill>
        <patternFill>
          <bgColor theme="8" tint="0.79998168889431442"/>
        </patternFill>
      </fill>
    </dxf>
    <dxf>
      <fill>
        <patternFill>
          <bgColor theme="4" tint="0.79998168889431442"/>
        </patternFill>
      </fill>
    </dxf>
    <dxf>
      <fill>
        <patternFill>
          <bgColor theme="8" tint="0.79998168889431442"/>
        </patternFill>
      </fill>
    </dxf>
    <dxf>
      <fill>
        <patternFill>
          <bgColor theme="4" tint="0.79998168889431442"/>
        </patternFill>
      </fill>
    </dxf>
    <dxf>
      <fill>
        <patternFill>
          <bgColor theme="8" tint="0.79998168889431442"/>
        </patternFill>
      </fill>
    </dxf>
    <dxf>
      <fill>
        <patternFill>
          <bgColor theme="8" tint="0.79998168889431442"/>
        </patternFill>
      </fill>
    </dxf>
    <dxf>
      <fill>
        <patternFill>
          <bgColor theme="3" tint="0.59996337778862885"/>
        </patternFill>
      </fill>
    </dxf>
    <dxf>
      <fill>
        <patternFill>
          <bgColor theme="8" tint="0.59996337778862885"/>
        </patternFill>
      </fill>
    </dxf>
    <dxf>
      <fill>
        <patternFill>
          <bgColor theme="3"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4"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4" tint="0.79998168889431442"/>
        </patternFill>
      </fill>
    </dxf>
    <dxf>
      <fill>
        <patternFill>
          <bgColor theme="8" tint="0.79998168889431442"/>
        </patternFill>
      </fill>
    </dxf>
    <dxf>
      <fill>
        <patternFill>
          <bgColor theme="4"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4" tint="0.79998168889431442"/>
        </patternFill>
      </fill>
    </dxf>
    <dxf>
      <fill>
        <patternFill>
          <bgColor theme="8" tint="0.79998168889431442"/>
        </patternFill>
      </fill>
    </dxf>
    <dxf>
      <fill>
        <patternFill>
          <bgColor theme="4" tint="0.79998168889431442"/>
        </patternFill>
      </fill>
    </dxf>
    <dxf>
      <fill>
        <patternFill>
          <bgColor theme="8" tint="0.79998168889431442"/>
        </patternFill>
      </fill>
    </dxf>
    <dxf>
      <fill>
        <patternFill>
          <bgColor theme="8" tint="0.79998168889431442"/>
        </patternFill>
      </fill>
    </dxf>
    <dxf>
      <fill>
        <patternFill>
          <bgColor theme="4"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s>
  <tableStyles count="0" defaultTableStyle="TableStyleMedium9" defaultPivotStyle="PivotStyleLight16"/>
  <colors>
    <mruColors>
      <color rgb="FFFFF6D9"/>
      <color rgb="FFFFEB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8.bin"/><Relationship Id="rId1" Type="http://schemas.openxmlformats.org/officeDocument/2006/relationships/hyperlink" Target="https://mnre.gov.in/the-ministry/physical-progress" TargetMode="Externa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vmlDrawing" Target="../drawings/vmlDrawing42.vml"/><Relationship Id="rId1" Type="http://schemas.openxmlformats.org/officeDocument/2006/relationships/printerSettings" Target="../printerSettings/printerSettings43.bin"/><Relationship Id="rId4" Type="http://schemas.openxmlformats.org/officeDocument/2006/relationships/comments" Target="../comments1.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hyperlink" Target="http://www.cwc.gov.in/reservoir-storage" TargetMode="External"/><Relationship Id="rId2" Type="http://schemas.openxmlformats.org/officeDocument/2006/relationships/hyperlink" Target="http://www.cwc.gov.in/reservoir-storage" TargetMode="External"/><Relationship Id="rId1" Type="http://schemas.openxmlformats.org/officeDocument/2006/relationships/hyperlink" Target="http://www.cwc.gov.in/reservoir-storage" TargetMode="External"/><Relationship Id="rId5" Type="http://schemas.openxmlformats.org/officeDocument/2006/relationships/vmlDrawing" Target="../drawings/vmlDrawing53.vml"/><Relationship Id="rId4"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vmlDrawing" Target="../drawings/vmlDrawing55.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A5345-C745-4FE5-848D-6E376B851E1D}">
  <dimension ref="A1:Z102"/>
  <sheetViews>
    <sheetView view="pageBreakPreview" zoomScale="80" zoomScaleSheetLayoutView="80" zoomScalePageLayoutView="90" workbookViewId="0">
      <selection activeCell="S17" sqref="S17"/>
    </sheetView>
  </sheetViews>
  <sheetFormatPr defaultColWidth="9.140625" defaultRowHeight="15"/>
  <cols>
    <col min="1" max="1" width="5.7109375" style="1081" customWidth="1"/>
    <col min="2" max="2" width="18.140625" style="29" customWidth="1"/>
    <col min="3" max="3" width="15.140625" style="1" bestFit="1" customWidth="1"/>
    <col min="4" max="6" width="13.42578125" style="1" customWidth="1"/>
    <col min="7" max="8" width="13.28515625" style="1" customWidth="1"/>
    <col min="9" max="9" width="13.140625" style="1" customWidth="1"/>
    <col min="10" max="10" width="14" style="1" customWidth="1"/>
    <col min="11" max="11" width="13.28515625" style="1" customWidth="1"/>
    <col min="12" max="15" width="13.42578125" style="1" customWidth="1"/>
    <col min="16" max="16" width="23" style="1" customWidth="1"/>
    <col min="17" max="17" width="15" style="1" customWidth="1"/>
    <col min="18" max="16384" width="9.140625" style="1"/>
  </cols>
  <sheetData>
    <row r="1" spans="1:26" s="7" customFormat="1" ht="42.75" customHeight="1" thickTop="1">
      <c r="A1" s="1868" t="s">
        <v>2189</v>
      </c>
      <c r="B1" s="1869"/>
      <c r="C1" s="1869"/>
      <c r="D1" s="1869"/>
      <c r="E1" s="1869"/>
      <c r="F1" s="1869"/>
      <c r="G1" s="1869"/>
      <c r="H1" s="1869"/>
      <c r="I1" s="1869"/>
      <c r="J1" s="1869"/>
      <c r="K1" s="1869"/>
      <c r="L1" s="1869"/>
      <c r="M1" s="1869"/>
      <c r="N1" s="1869"/>
      <c r="O1" s="1869"/>
      <c r="P1" s="1870"/>
      <c r="Q1" s="1"/>
      <c r="R1" s="1"/>
      <c r="S1" s="1"/>
      <c r="T1" s="1"/>
      <c r="U1" s="1"/>
      <c r="V1" s="1"/>
      <c r="W1" s="1"/>
      <c r="X1" s="1"/>
      <c r="Y1" s="1"/>
      <c r="Z1" s="1"/>
    </row>
    <row r="2" spans="1:26" s="7" customFormat="1" ht="9" customHeight="1">
      <c r="A2" s="1871"/>
      <c r="B2" s="1872"/>
      <c r="C2" s="1872"/>
      <c r="D2" s="1872"/>
      <c r="E2" s="1872"/>
      <c r="F2" s="1872"/>
      <c r="G2" s="1872"/>
      <c r="H2" s="1872"/>
      <c r="I2" s="1872"/>
      <c r="J2" s="1872"/>
      <c r="K2" s="1872"/>
      <c r="L2" s="1872"/>
      <c r="M2" s="1872"/>
      <c r="N2" s="1872"/>
      <c r="O2" s="1872"/>
      <c r="P2" s="1873"/>
      <c r="Q2" s="1"/>
      <c r="R2" s="1"/>
      <c r="S2" s="1"/>
      <c r="T2" s="1"/>
      <c r="U2" s="1"/>
      <c r="V2" s="1"/>
      <c r="W2" s="1"/>
      <c r="X2" s="1"/>
      <c r="Y2" s="1"/>
      <c r="Z2" s="1"/>
    </row>
    <row r="3" spans="1:26" s="7" customFormat="1" ht="18" customHeight="1">
      <c r="A3" s="1542"/>
      <c r="B3" s="1173"/>
      <c r="C3" s="1543"/>
      <c r="D3" s="1543"/>
      <c r="E3" s="1543"/>
      <c r="F3" s="1543"/>
      <c r="G3" s="1543"/>
      <c r="H3" s="1543"/>
      <c r="I3" s="1543"/>
      <c r="J3" s="1543"/>
      <c r="K3" s="1543"/>
      <c r="L3" s="1543"/>
      <c r="M3" s="1543"/>
      <c r="N3" s="1543"/>
      <c r="O3" s="1543"/>
      <c r="P3" s="1544"/>
      <c r="Q3" s="1"/>
      <c r="R3" s="1"/>
      <c r="S3" s="1"/>
      <c r="T3" s="1"/>
      <c r="U3" s="1"/>
      <c r="V3" s="1"/>
      <c r="W3" s="1"/>
      <c r="X3" s="1"/>
      <c r="Y3" s="1"/>
      <c r="Z3" s="1"/>
    </row>
    <row r="4" spans="1:26" s="32" customFormat="1" ht="21" customHeight="1">
      <c r="A4" s="1874" t="s">
        <v>686</v>
      </c>
      <c r="B4" s="1875" t="s">
        <v>2190</v>
      </c>
      <c r="C4" s="1876" t="s">
        <v>2191</v>
      </c>
      <c r="D4" s="1876" t="s">
        <v>2192</v>
      </c>
      <c r="E4" s="1876"/>
      <c r="F4" s="1876"/>
      <c r="G4" s="1876" t="s">
        <v>2193</v>
      </c>
      <c r="H4" s="1876"/>
      <c r="I4" s="1876"/>
      <c r="J4" s="1876" t="s">
        <v>2194</v>
      </c>
      <c r="K4" s="1876"/>
      <c r="L4" s="1876"/>
      <c r="M4" s="1876" t="s">
        <v>2195</v>
      </c>
      <c r="N4" s="1876"/>
      <c r="O4" s="1876"/>
      <c r="P4" s="1877" t="s">
        <v>2196</v>
      </c>
      <c r="Q4" s="1"/>
      <c r="R4" s="1"/>
      <c r="S4" s="1"/>
      <c r="T4" s="1"/>
      <c r="U4" s="1"/>
      <c r="V4" s="1"/>
      <c r="W4" s="1"/>
      <c r="X4" s="1"/>
      <c r="Y4" s="1"/>
      <c r="Z4" s="1"/>
    </row>
    <row r="5" spans="1:26" s="32" customFormat="1" ht="62.25" customHeight="1">
      <c r="A5" s="1874"/>
      <c r="B5" s="1875"/>
      <c r="C5" s="1876"/>
      <c r="D5" s="79" t="s">
        <v>2197</v>
      </c>
      <c r="E5" s="79" t="s">
        <v>2198</v>
      </c>
      <c r="F5" s="79" t="s">
        <v>2199</v>
      </c>
      <c r="G5" s="79" t="s">
        <v>2200</v>
      </c>
      <c r="H5" s="79" t="s">
        <v>2198</v>
      </c>
      <c r="I5" s="79" t="s">
        <v>2199</v>
      </c>
      <c r="J5" s="79" t="s">
        <v>2197</v>
      </c>
      <c r="K5" s="79" t="s">
        <v>2198</v>
      </c>
      <c r="L5" s="79" t="s">
        <v>2199</v>
      </c>
      <c r="M5" s="79" t="s">
        <v>2201</v>
      </c>
      <c r="N5" s="79" t="s">
        <v>2198</v>
      </c>
      <c r="O5" s="79" t="s">
        <v>2199</v>
      </c>
      <c r="P5" s="1877"/>
      <c r="Q5" s="1"/>
      <c r="R5" s="1"/>
      <c r="S5" s="1"/>
      <c r="T5" s="1"/>
      <c r="U5" s="1"/>
      <c r="V5" s="1"/>
      <c r="W5" s="1"/>
      <c r="X5" s="1"/>
      <c r="Y5" s="1"/>
      <c r="Z5" s="1"/>
    </row>
    <row r="6" spans="1:26" ht="21" customHeight="1">
      <c r="A6" s="298">
        <v>1</v>
      </c>
      <c r="B6" s="335" t="s">
        <v>2202</v>
      </c>
      <c r="C6" s="1064" t="s">
        <v>2203</v>
      </c>
      <c r="D6" s="552">
        <v>0</v>
      </c>
      <c r="E6" s="552">
        <v>18450</v>
      </c>
      <c r="F6" s="552">
        <v>18450</v>
      </c>
      <c r="G6" s="552" t="s">
        <v>47</v>
      </c>
      <c r="H6" s="552">
        <v>18450</v>
      </c>
      <c r="I6" s="552">
        <v>18450</v>
      </c>
      <c r="J6" s="552">
        <v>0</v>
      </c>
      <c r="K6" s="552">
        <v>28201</v>
      </c>
      <c r="L6" s="552">
        <v>28201</v>
      </c>
      <c r="M6" s="1065" t="s">
        <v>2204</v>
      </c>
      <c r="N6" s="1065" t="s">
        <v>2204</v>
      </c>
      <c r="O6" s="1065" t="s">
        <v>2204</v>
      </c>
      <c r="P6" s="1174" t="s">
        <v>2205</v>
      </c>
    </row>
    <row r="7" spans="1:26" ht="21" customHeight="1">
      <c r="A7" s="298">
        <v>2</v>
      </c>
      <c r="B7" s="335" t="s">
        <v>2206</v>
      </c>
      <c r="C7" s="1064"/>
      <c r="D7" s="552"/>
      <c r="E7" s="552"/>
      <c r="F7" s="552"/>
      <c r="G7" s="552"/>
      <c r="H7" s="552"/>
      <c r="I7" s="552"/>
      <c r="J7" s="552"/>
      <c r="K7" s="552"/>
      <c r="L7" s="552"/>
      <c r="M7" s="1066">
        <v>0</v>
      </c>
      <c r="N7" s="1067">
        <v>126050</v>
      </c>
      <c r="O7" s="1067">
        <v>126050</v>
      </c>
      <c r="P7" s="1174" t="s">
        <v>2207</v>
      </c>
    </row>
    <row r="8" spans="1:26" ht="21" customHeight="1">
      <c r="A8" s="298"/>
      <c r="B8" s="335" t="s">
        <v>2208</v>
      </c>
      <c r="C8" s="792" t="s">
        <v>2209</v>
      </c>
      <c r="D8" s="552">
        <v>0</v>
      </c>
      <c r="E8" s="552">
        <v>10588</v>
      </c>
      <c r="F8" s="552">
        <v>10588</v>
      </c>
      <c r="G8" s="552" t="s">
        <v>47</v>
      </c>
      <c r="H8" s="552">
        <v>10588</v>
      </c>
      <c r="I8" s="552">
        <v>10588</v>
      </c>
      <c r="J8" s="552">
        <v>0</v>
      </c>
      <c r="K8" s="552">
        <v>10588</v>
      </c>
      <c r="L8" s="552">
        <v>10588</v>
      </c>
      <c r="M8" s="1068" t="s">
        <v>2210</v>
      </c>
      <c r="N8" s="1069" t="s">
        <v>2211</v>
      </c>
      <c r="O8" s="1070" t="s">
        <v>2212</v>
      </c>
      <c r="P8" s="1175" t="s">
        <v>2213</v>
      </c>
    </row>
    <row r="9" spans="1:26" ht="21" customHeight="1">
      <c r="A9" s="298"/>
      <c r="B9" s="333" t="s">
        <v>2214</v>
      </c>
      <c r="C9" s="792" t="s">
        <v>2209</v>
      </c>
      <c r="D9" s="552">
        <v>0</v>
      </c>
      <c r="E9" s="552">
        <v>174</v>
      </c>
      <c r="F9" s="552">
        <v>174</v>
      </c>
      <c r="G9" s="552" t="s">
        <v>47</v>
      </c>
      <c r="H9" s="552">
        <v>174</v>
      </c>
      <c r="I9" s="552">
        <v>174</v>
      </c>
      <c r="J9" s="552">
        <v>0</v>
      </c>
      <c r="K9" s="552">
        <v>174</v>
      </c>
      <c r="L9" s="552">
        <v>174</v>
      </c>
      <c r="M9" s="1">
        <v>75</v>
      </c>
      <c r="N9" s="1">
        <v>179.92</v>
      </c>
      <c r="O9" s="1">
        <v>254.92</v>
      </c>
      <c r="P9" s="1176" t="s">
        <v>2215</v>
      </c>
    </row>
    <row r="10" spans="1:26" ht="21" customHeight="1">
      <c r="A10" s="298">
        <v>3</v>
      </c>
      <c r="B10" s="335" t="s">
        <v>2216</v>
      </c>
      <c r="C10" s="792" t="s">
        <v>2209</v>
      </c>
      <c r="D10" s="552">
        <v>6145575</v>
      </c>
      <c r="E10" s="552">
        <v>20719133</v>
      </c>
      <c r="F10" s="552">
        <v>26864708</v>
      </c>
      <c r="G10" s="552">
        <v>2090216</v>
      </c>
      <c r="H10" s="552">
        <v>22138530</v>
      </c>
      <c r="I10" s="552">
        <v>24228746</v>
      </c>
      <c r="J10" s="552">
        <v>29395</v>
      </c>
      <c r="K10" s="552">
        <v>24016082</v>
      </c>
      <c r="L10" s="552">
        <v>24045477</v>
      </c>
      <c r="M10" s="1067">
        <v>29395</v>
      </c>
      <c r="N10" s="1067">
        <v>21080904</v>
      </c>
      <c r="O10" s="1067">
        <v>21110299</v>
      </c>
      <c r="P10" s="1174" t="s">
        <v>2217</v>
      </c>
    </row>
    <row r="11" spans="1:26" ht="21" customHeight="1">
      <c r="A11" s="298">
        <v>4</v>
      </c>
      <c r="B11" s="335" t="s">
        <v>2218</v>
      </c>
      <c r="C11" s="792" t="s">
        <v>2209</v>
      </c>
      <c r="D11" s="552">
        <v>6040544</v>
      </c>
      <c r="E11" s="552">
        <v>15695817</v>
      </c>
      <c r="F11" s="552">
        <v>21736361</v>
      </c>
      <c r="G11" s="552">
        <v>2510841</v>
      </c>
      <c r="H11" s="552">
        <v>19655762</v>
      </c>
      <c r="I11" s="552">
        <v>22166603</v>
      </c>
      <c r="J11" s="552">
        <v>24633</v>
      </c>
      <c r="K11" s="552">
        <v>22922751</v>
      </c>
      <c r="L11" s="552">
        <v>22947384</v>
      </c>
      <c r="M11" s="1066">
        <v>0</v>
      </c>
      <c r="N11" s="1067">
        <v>22908067</v>
      </c>
      <c r="O11" s="1067">
        <v>22908067</v>
      </c>
      <c r="P11" s="1174" t="s">
        <v>2219</v>
      </c>
    </row>
    <row r="12" spans="1:26" ht="21" customHeight="1">
      <c r="A12" s="298">
        <v>5</v>
      </c>
      <c r="B12" s="335" t="s">
        <v>2220</v>
      </c>
      <c r="C12" s="792" t="s">
        <v>2209</v>
      </c>
      <c r="D12" s="552">
        <v>32529793</v>
      </c>
      <c r="E12" s="552">
        <v>46761403</v>
      </c>
      <c r="F12" s="552">
        <v>79291196</v>
      </c>
      <c r="G12" s="552">
        <v>16777842</v>
      </c>
      <c r="H12" s="552">
        <v>66615662</v>
      </c>
      <c r="I12" s="552">
        <v>83393504</v>
      </c>
      <c r="J12" s="552">
        <v>49493621</v>
      </c>
      <c r="K12" s="552">
        <v>85249716</v>
      </c>
      <c r="L12" s="552">
        <v>134743337</v>
      </c>
      <c r="P12" s="1174" t="s">
        <v>2221</v>
      </c>
    </row>
    <row r="13" spans="1:26" ht="21" customHeight="1">
      <c r="A13" s="298">
        <v>6</v>
      </c>
      <c r="B13" s="335" t="s">
        <v>2222</v>
      </c>
      <c r="C13" s="792" t="s">
        <v>2209</v>
      </c>
      <c r="D13" s="552">
        <v>34312780</v>
      </c>
      <c r="E13" s="552">
        <v>39890567</v>
      </c>
      <c r="F13" s="552">
        <v>74203347</v>
      </c>
      <c r="G13" s="552">
        <v>31584128</v>
      </c>
      <c r="H13" s="552">
        <v>41149746</v>
      </c>
      <c r="I13" s="552">
        <v>72733874</v>
      </c>
      <c r="J13" s="552">
        <v>51346825</v>
      </c>
      <c r="K13" s="552">
        <v>35323825</v>
      </c>
      <c r="L13" s="552">
        <v>86670650</v>
      </c>
      <c r="P13" s="1174" t="s">
        <v>2223</v>
      </c>
    </row>
    <row r="14" spans="1:26" ht="21" customHeight="1">
      <c r="A14" s="298">
        <v>7</v>
      </c>
      <c r="B14" s="335" t="s">
        <v>2224</v>
      </c>
      <c r="C14" s="1064" t="s">
        <v>2203</v>
      </c>
      <c r="D14" s="552">
        <v>899384</v>
      </c>
      <c r="E14" s="552">
        <v>2390432</v>
      </c>
      <c r="F14" s="552">
        <v>3289817</v>
      </c>
      <c r="G14" s="552">
        <v>592938</v>
      </c>
      <c r="H14" s="552">
        <v>2886682</v>
      </c>
      <c r="I14" s="552">
        <v>3479620</v>
      </c>
      <c r="J14" s="552">
        <v>656422</v>
      </c>
      <c r="K14" s="552">
        <v>3240442</v>
      </c>
      <c r="L14" s="552">
        <v>3896864</v>
      </c>
      <c r="M14" s="1067">
        <v>646493</v>
      </c>
      <c r="N14" s="1067">
        <v>4311754</v>
      </c>
      <c r="O14" s="1067">
        <v>4958248</v>
      </c>
      <c r="P14" s="1174" t="s">
        <v>2225</v>
      </c>
    </row>
    <row r="15" spans="1:26" ht="21" customHeight="1">
      <c r="A15" s="298">
        <v>8</v>
      </c>
      <c r="B15" s="335" t="s">
        <v>2226</v>
      </c>
      <c r="C15" s="792" t="s">
        <v>2209</v>
      </c>
      <c r="D15" s="552">
        <v>25060508</v>
      </c>
      <c r="E15" s="552">
        <v>505512898</v>
      </c>
      <c r="F15" s="552">
        <v>530573406</v>
      </c>
      <c r="G15" s="552">
        <v>25060508</v>
      </c>
      <c r="H15" s="552">
        <v>543306838</v>
      </c>
      <c r="I15" s="552">
        <v>568367346</v>
      </c>
      <c r="J15" s="552">
        <v>14585633</v>
      </c>
      <c r="K15" s="552">
        <v>568302781</v>
      </c>
      <c r="L15" s="552">
        <v>582888414</v>
      </c>
      <c r="P15" s="1174" t="s">
        <v>2227</v>
      </c>
    </row>
    <row r="16" spans="1:26" ht="21" customHeight="1">
      <c r="A16" s="298">
        <v>9</v>
      </c>
      <c r="B16" s="335" t="s">
        <v>2228</v>
      </c>
      <c r="C16" s="792" t="s">
        <v>2209</v>
      </c>
      <c r="D16" s="552">
        <v>0</v>
      </c>
      <c r="E16" s="552">
        <v>74204</v>
      </c>
      <c r="F16" s="552">
        <v>74204</v>
      </c>
      <c r="G16" s="552" t="s">
        <v>47</v>
      </c>
      <c r="H16" s="552">
        <v>74204</v>
      </c>
      <c r="I16" s="552">
        <v>74204</v>
      </c>
      <c r="J16" s="552">
        <v>0</v>
      </c>
      <c r="K16" s="552">
        <v>74204</v>
      </c>
      <c r="L16" s="552">
        <v>74204</v>
      </c>
      <c r="M16" s="1066">
        <v>0</v>
      </c>
      <c r="N16" s="1067">
        <v>74204</v>
      </c>
      <c r="O16" s="1067">
        <v>74204</v>
      </c>
      <c r="P16" s="1174" t="s">
        <v>2229</v>
      </c>
    </row>
    <row r="17" spans="1:16" ht="21" customHeight="1">
      <c r="A17" s="298">
        <v>10</v>
      </c>
      <c r="B17" s="335" t="s">
        <v>2230</v>
      </c>
      <c r="C17" s="792" t="s">
        <v>2209</v>
      </c>
      <c r="D17" s="552">
        <v>6742030</v>
      </c>
      <c r="E17" s="552">
        <v>15831937</v>
      </c>
      <c r="F17" s="552">
        <v>22573967</v>
      </c>
      <c r="G17" s="552">
        <v>2664338</v>
      </c>
      <c r="H17" s="552">
        <v>18281110</v>
      </c>
      <c r="I17" s="552">
        <v>20945448</v>
      </c>
      <c r="J17" s="552">
        <v>3448867</v>
      </c>
      <c r="K17" s="552">
        <v>19555082</v>
      </c>
      <c r="L17" s="552">
        <v>23003949</v>
      </c>
      <c r="P17" s="1174" t="s">
        <v>2231</v>
      </c>
    </row>
    <row r="18" spans="1:16" ht="21" customHeight="1">
      <c r="A18" s="298">
        <v>11</v>
      </c>
      <c r="B18" s="335" t="s">
        <v>2232</v>
      </c>
      <c r="C18" s="1064" t="s">
        <v>2203</v>
      </c>
      <c r="D18" s="552"/>
      <c r="E18" s="552"/>
      <c r="F18" s="552"/>
      <c r="G18" s="552">
        <v>4332</v>
      </c>
      <c r="H18" s="552">
        <v>585</v>
      </c>
      <c r="I18" s="552">
        <v>4917</v>
      </c>
      <c r="J18" s="552">
        <v>5064</v>
      </c>
      <c r="K18" s="552">
        <v>1687</v>
      </c>
      <c r="L18" s="552">
        <v>6751</v>
      </c>
      <c r="P18" s="1174" t="s">
        <v>2233</v>
      </c>
    </row>
    <row r="19" spans="1:16" ht="21" customHeight="1">
      <c r="A19" s="298">
        <v>12</v>
      </c>
      <c r="B19" s="335" t="s">
        <v>2234</v>
      </c>
      <c r="C19" s="1064" t="s">
        <v>2203</v>
      </c>
      <c r="D19" s="552">
        <v>222121</v>
      </c>
      <c r="E19" s="552">
        <v>2373540</v>
      </c>
      <c r="F19" s="552">
        <v>2595661</v>
      </c>
      <c r="G19" s="552">
        <v>177158</v>
      </c>
      <c r="H19" s="552">
        <v>2528049</v>
      </c>
      <c r="I19" s="552">
        <v>2705207</v>
      </c>
      <c r="J19" s="552">
        <v>229469</v>
      </c>
      <c r="K19" s="552">
        <v>2711777</v>
      </c>
      <c r="L19" s="552">
        <v>2941247</v>
      </c>
      <c r="P19" s="1174" t="s">
        <v>2235</v>
      </c>
    </row>
    <row r="20" spans="1:16" ht="21" customHeight="1">
      <c r="A20" s="298">
        <v>13</v>
      </c>
      <c r="B20" s="335" t="s">
        <v>2236</v>
      </c>
      <c r="C20" s="1064" t="s">
        <v>2203</v>
      </c>
      <c r="D20" s="552">
        <v>66128</v>
      </c>
      <c r="E20" s="552">
        <v>146935</v>
      </c>
      <c r="F20" s="552">
        <v>213063</v>
      </c>
      <c r="G20" s="552">
        <v>53970</v>
      </c>
      <c r="H20" s="552">
        <v>149376</v>
      </c>
      <c r="I20" s="552">
        <v>203346</v>
      </c>
      <c r="J20" s="552">
        <v>102210</v>
      </c>
      <c r="K20" s="552">
        <v>241806</v>
      </c>
      <c r="L20" s="552">
        <v>344016</v>
      </c>
      <c r="M20" s="1067">
        <v>78535</v>
      </c>
      <c r="N20" s="1067">
        <v>253150</v>
      </c>
      <c r="O20" s="1067">
        <v>331685</v>
      </c>
      <c r="P20" s="1174" t="s">
        <v>2237</v>
      </c>
    </row>
    <row r="21" spans="1:16" ht="21" customHeight="1">
      <c r="A21" s="298">
        <v>14</v>
      </c>
      <c r="B21" s="335" t="s">
        <v>2238</v>
      </c>
      <c r="C21" s="792" t="s">
        <v>2239</v>
      </c>
      <c r="D21" s="552">
        <v>0</v>
      </c>
      <c r="E21" s="552">
        <v>44.91</v>
      </c>
      <c r="F21" s="552">
        <v>44.91</v>
      </c>
      <c r="G21" s="552" t="s">
        <v>47</v>
      </c>
      <c r="H21" s="552">
        <v>44.91</v>
      </c>
      <c r="I21" s="552">
        <v>44.91</v>
      </c>
      <c r="J21" s="552">
        <v>0</v>
      </c>
      <c r="K21" s="552">
        <v>45</v>
      </c>
      <c r="L21" s="552">
        <v>45</v>
      </c>
      <c r="M21" s="1066">
        <v>0</v>
      </c>
      <c r="N21" s="1066">
        <v>45</v>
      </c>
      <c r="O21" s="1066">
        <v>45</v>
      </c>
      <c r="P21" s="1174" t="s">
        <v>2240</v>
      </c>
    </row>
    <row r="22" spans="1:16" ht="21" customHeight="1">
      <c r="A22" s="298">
        <v>15</v>
      </c>
      <c r="B22" s="335" t="s">
        <v>2241</v>
      </c>
      <c r="C22" s="792"/>
      <c r="D22" s="552"/>
      <c r="E22" s="552"/>
      <c r="F22" s="552"/>
      <c r="G22" s="552"/>
      <c r="H22" s="552"/>
      <c r="I22" s="552"/>
      <c r="J22" s="552"/>
      <c r="K22" s="552"/>
      <c r="L22" s="552"/>
      <c r="M22" s="1071"/>
      <c r="N22" s="1071"/>
      <c r="O22" s="1071"/>
      <c r="P22" s="1174" t="s">
        <v>2242</v>
      </c>
    </row>
    <row r="23" spans="1:16" ht="21" customHeight="1">
      <c r="A23" s="298"/>
      <c r="B23" s="335" t="s">
        <v>2243</v>
      </c>
      <c r="C23" s="1064" t="s">
        <v>2244</v>
      </c>
      <c r="D23" s="552">
        <v>369493</v>
      </c>
      <c r="E23" s="552">
        <v>1024934</v>
      </c>
      <c r="F23" s="552">
        <v>1394427</v>
      </c>
      <c r="G23" s="552">
        <v>394372</v>
      </c>
      <c r="H23" s="552">
        <v>1164086</v>
      </c>
      <c r="I23" s="552">
        <v>1558458</v>
      </c>
      <c r="J23" s="552">
        <v>207767</v>
      </c>
      <c r="K23" s="552">
        <v>1303730</v>
      </c>
      <c r="L23" s="552">
        <v>1511498</v>
      </c>
      <c r="M23" s="1067">
        <v>163891</v>
      </c>
      <c r="N23" s="1067">
        <v>1496979</v>
      </c>
      <c r="O23" s="1067">
        <v>1660870</v>
      </c>
      <c r="P23" s="1175" t="s">
        <v>2213</v>
      </c>
    </row>
    <row r="24" spans="1:16" ht="21" customHeight="1">
      <c r="A24" s="298"/>
      <c r="B24" s="333" t="s">
        <v>2214</v>
      </c>
      <c r="C24" s="1064" t="s">
        <v>2244</v>
      </c>
      <c r="D24" s="552">
        <v>4383.97</v>
      </c>
      <c r="E24" s="552">
        <v>7033.75</v>
      </c>
      <c r="F24" s="552">
        <v>11417.72</v>
      </c>
      <c r="G24" s="552">
        <v>4768.33</v>
      </c>
      <c r="H24" s="552">
        <v>7518.34</v>
      </c>
      <c r="I24" s="552">
        <v>12286.67</v>
      </c>
      <c r="J24" s="552">
        <v>2734.62</v>
      </c>
      <c r="K24" s="552">
        <v>9423.5300000000007</v>
      </c>
      <c r="L24" s="552">
        <v>12158.15</v>
      </c>
      <c r="M24" s="1072">
        <v>2161.5700000000002</v>
      </c>
      <c r="N24" s="1072">
        <v>10035.52</v>
      </c>
      <c r="O24" s="1072">
        <v>12197.09</v>
      </c>
      <c r="P24" s="1176" t="s">
        <v>2215</v>
      </c>
    </row>
    <row r="25" spans="1:16" ht="21" customHeight="1">
      <c r="A25" s="298">
        <v>16</v>
      </c>
      <c r="B25" s="335" t="s">
        <v>2245</v>
      </c>
      <c r="C25" s="792" t="s">
        <v>2209</v>
      </c>
      <c r="D25" s="552">
        <v>605</v>
      </c>
      <c r="E25" s="552">
        <v>83190</v>
      </c>
      <c r="F25" s="552">
        <v>83795</v>
      </c>
      <c r="G25" s="552">
        <v>597</v>
      </c>
      <c r="H25" s="552">
        <v>740194</v>
      </c>
      <c r="I25" s="552">
        <v>740792</v>
      </c>
      <c r="J25" s="552">
        <v>200</v>
      </c>
      <c r="K25" s="552">
        <v>293497</v>
      </c>
      <c r="L25" s="552">
        <v>293697</v>
      </c>
      <c r="P25" s="1174" t="s">
        <v>2246</v>
      </c>
    </row>
    <row r="26" spans="1:16" ht="21" customHeight="1">
      <c r="A26" s="298">
        <v>17</v>
      </c>
      <c r="B26" s="335" t="s">
        <v>2247</v>
      </c>
      <c r="C26" s="792" t="s">
        <v>2248</v>
      </c>
      <c r="D26" s="552">
        <v>1205577</v>
      </c>
      <c r="E26" s="552">
        <v>3376336</v>
      </c>
      <c r="F26" s="552">
        <v>4581913</v>
      </c>
      <c r="G26" s="552">
        <v>1045318</v>
      </c>
      <c r="H26" s="552">
        <v>30876432</v>
      </c>
      <c r="I26" s="552">
        <v>31921750</v>
      </c>
      <c r="J26" s="552">
        <v>959659</v>
      </c>
      <c r="K26" s="552">
        <v>30876432</v>
      </c>
      <c r="L26" s="552">
        <v>31836091</v>
      </c>
      <c r="M26" s="1067">
        <v>847559</v>
      </c>
      <c r="N26" s="1067">
        <v>30876432</v>
      </c>
      <c r="O26" s="1067">
        <v>31723991</v>
      </c>
      <c r="P26" s="1174" t="s">
        <v>2249</v>
      </c>
    </row>
    <row r="27" spans="1:16" ht="21" customHeight="1">
      <c r="A27" s="298">
        <v>18</v>
      </c>
      <c r="B27" s="335" t="s">
        <v>2250</v>
      </c>
      <c r="C27" s="792" t="s">
        <v>2209</v>
      </c>
      <c r="D27" s="552">
        <v>3125032</v>
      </c>
      <c r="E27" s="552">
        <v>2212361</v>
      </c>
      <c r="F27" s="552">
        <v>5337393</v>
      </c>
      <c r="G27" s="552">
        <v>2859674</v>
      </c>
      <c r="H27" s="552">
        <v>3125144</v>
      </c>
      <c r="I27" s="552">
        <v>5984818</v>
      </c>
      <c r="J27" s="552">
        <v>7882434</v>
      </c>
      <c r="K27" s="552">
        <v>2310817</v>
      </c>
      <c r="L27" s="552">
        <v>10193251</v>
      </c>
      <c r="P27" s="1174" t="s">
        <v>2251</v>
      </c>
    </row>
    <row r="28" spans="1:16" ht="21" customHeight="1">
      <c r="A28" s="298">
        <v>19</v>
      </c>
      <c r="B28" s="335" t="s">
        <v>2252</v>
      </c>
      <c r="C28" s="1064" t="s">
        <v>2203</v>
      </c>
      <c r="D28" s="552">
        <v>634</v>
      </c>
      <c r="E28" s="552">
        <v>2251</v>
      </c>
      <c r="F28" s="552">
        <v>2885</v>
      </c>
      <c r="G28" s="552" t="s">
        <v>47</v>
      </c>
      <c r="H28" s="552">
        <v>2885</v>
      </c>
      <c r="I28" s="552">
        <v>2885</v>
      </c>
      <c r="J28" s="552">
        <v>0</v>
      </c>
      <c r="K28" s="552">
        <v>2885</v>
      </c>
      <c r="L28" s="552">
        <v>2885</v>
      </c>
      <c r="M28" s="1066">
        <v>0</v>
      </c>
      <c r="N28" s="1067">
        <v>2885</v>
      </c>
      <c r="O28" s="1067">
        <v>2885</v>
      </c>
      <c r="P28" s="1174" t="s">
        <v>2253</v>
      </c>
    </row>
    <row r="29" spans="1:16" ht="21" customHeight="1">
      <c r="A29" s="298">
        <v>20</v>
      </c>
      <c r="B29" s="335" t="s">
        <v>2254</v>
      </c>
      <c r="C29" s="1064" t="s">
        <v>2203</v>
      </c>
      <c r="D29" s="552">
        <v>985156</v>
      </c>
      <c r="E29" s="552">
        <v>6547952</v>
      </c>
      <c r="F29" s="552">
        <v>7533108</v>
      </c>
      <c r="G29" s="552">
        <v>738185</v>
      </c>
      <c r="H29" s="552">
        <v>6992372</v>
      </c>
      <c r="I29" s="552">
        <v>7730557</v>
      </c>
      <c r="J29" s="552">
        <v>677884</v>
      </c>
      <c r="K29" s="552">
        <v>7737007</v>
      </c>
      <c r="L29" s="552">
        <v>8414891</v>
      </c>
      <c r="P29" s="1174" t="s">
        <v>2255</v>
      </c>
    </row>
    <row r="30" spans="1:16" ht="21" customHeight="1">
      <c r="A30" s="298">
        <v>21</v>
      </c>
      <c r="B30" s="335" t="s">
        <v>2256</v>
      </c>
      <c r="C30" s="1064" t="s">
        <v>2203</v>
      </c>
      <c r="D30" s="552">
        <v>128074</v>
      </c>
      <c r="E30" s="552">
        <v>39855</v>
      </c>
      <c r="F30" s="552">
        <v>167929</v>
      </c>
      <c r="G30" s="552">
        <v>17137</v>
      </c>
      <c r="H30" s="552">
        <v>168232</v>
      </c>
      <c r="I30" s="552">
        <v>185369</v>
      </c>
      <c r="J30" s="552">
        <v>12768</v>
      </c>
      <c r="K30" s="552">
        <v>175049</v>
      </c>
      <c r="L30" s="552">
        <v>187818</v>
      </c>
      <c r="P30" s="1174" t="s">
        <v>2257</v>
      </c>
    </row>
    <row r="31" spans="1:16" ht="21" customHeight="1">
      <c r="A31" s="298">
        <v>22</v>
      </c>
      <c r="B31" s="335" t="s">
        <v>2258</v>
      </c>
      <c r="C31" s="792" t="s">
        <v>2259</v>
      </c>
      <c r="D31" s="552"/>
      <c r="E31" s="552"/>
      <c r="F31" s="552"/>
      <c r="G31" s="552" t="s">
        <v>2260</v>
      </c>
      <c r="H31" s="552" t="s">
        <v>2260</v>
      </c>
      <c r="I31" s="552" t="s">
        <v>2260</v>
      </c>
      <c r="J31" s="552">
        <v>0</v>
      </c>
      <c r="K31" s="552">
        <v>55869</v>
      </c>
      <c r="L31" s="552">
        <v>55869</v>
      </c>
      <c r="M31" s="1066">
        <v>0</v>
      </c>
      <c r="N31" s="1067">
        <v>55869</v>
      </c>
      <c r="O31" s="1067">
        <v>55869</v>
      </c>
      <c r="P31" s="1174" t="s">
        <v>2261</v>
      </c>
    </row>
    <row r="32" spans="1:16" ht="21" customHeight="1">
      <c r="A32" s="298">
        <v>23</v>
      </c>
      <c r="B32" s="335" t="s">
        <v>2262</v>
      </c>
      <c r="C32" s="792" t="s">
        <v>2209</v>
      </c>
      <c r="D32" s="552">
        <v>38049836</v>
      </c>
      <c r="E32" s="552">
        <v>52731827</v>
      </c>
      <c r="F32" s="552">
        <v>90781663</v>
      </c>
      <c r="G32" s="552">
        <v>44503240</v>
      </c>
      <c r="H32" s="552">
        <v>87832212</v>
      </c>
      <c r="I32" s="552">
        <v>132335452</v>
      </c>
      <c r="J32" s="552">
        <v>319841612</v>
      </c>
      <c r="K32" s="552">
        <v>313725831</v>
      </c>
      <c r="L32" s="552">
        <v>633567443</v>
      </c>
      <c r="P32" s="1174" t="s">
        <v>2263</v>
      </c>
    </row>
    <row r="33" spans="1:16" ht="21" customHeight="1">
      <c r="A33" s="298">
        <v>24</v>
      </c>
      <c r="B33" s="335" t="s">
        <v>2264</v>
      </c>
      <c r="C33" s="1064" t="s">
        <v>2203</v>
      </c>
      <c r="D33" s="552">
        <v>59301</v>
      </c>
      <c r="E33" s="552">
        <v>645462</v>
      </c>
      <c r="F33" s="552">
        <v>704763</v>
      </c>
      <c r="G33" s="552">
        <v>30104</v>
      </c>
      <c r="H33" s="552">
        <v>683415</v>
      </c>
      <c r="I33" s="552">
        <v>713519</v>
      </c>
      <c r="J33" s="552">
        <v>27037</v>
      </c>
      <c r="K33" s="552">
        <v>695791</v>
      </c>
      <c r="L33" s="552">
        <v>722829</v>
      </c>
      <c r="P33" s="1174" t="s">
        <v>2265</v>
      </c>
    </row>
    <row r="34" spans="1:16" ht="21" customHeight="1">
      <c r="A34" s="298">
        <v>25</v>
      </c>
      <c r="B34" s="335" t="s">
        <v>2266</v>
      </c>
      <c r="C34" s="792" t="s">
        <v>2209</v>
      </c>
      <c r="D34" s="552">
        <v>9213831</v>
      </c>
      <c r="E34" s="552">
        <v>10951838</v>
      </c>
      <c r="F34" s="552">
        <v>20165669</v>
      </c>
      <c r="G34" s="552">
        <v>4712316</v>
      </c>
      <c r="H34" s="552">
        <v>13501588</v>
      </c>
      <c r="I34" s="552">
        <v>18213904</v>
      </c>
      <c r="J34" s="552">
        <v>288684</v>
      </c>
      <c r="K34" s="552">
        <v>17893423</v>
      </c>
      <c r="L34" s="552">
        <v>18182107</v>
      </c>
      <c r="M34" s="1067">
        <v>404241</v>
      </c>
      <c r="N34" s="1067">
        <v>20588239</v>
      </c>
      <c r="O34" s="1067">
        <v>20992480</v>
      </c>
      <c r="P34" s="1174" t="s">
        <v>2267</v>
      </c>
    </row>
    <row r="35" spans="1:16" ht="21" customHeight="1">
      <c r="A35" s="298">
        <v>26</v>
      </c>
      <c r="B35" s="335" t="s">
        <v>2268</v>
      </c>
      <c r="C35" s="792" t="s">
        <v>2209</v>
      </c>
      <c r="D35" s="552">
        <v>58200</v>
      </c>
      <c r="E35" s="552">
        <v>256593879</v>
      </c>
      <c r="F35" s="552">
        <v>256652079</v>
      </c>
      <c r="G35" s="552">
        <v>58200</v>
      </c>
      <c r="H35" s="552">
        <v>256593879</v>
      </c>
      <c r="I35" s="552">
        <v>256652079</v>
      </c>
      <c r="J35" s="552">
        <v>3941000</v>
      </c>
      <c r="K35" s="552">
        <v>257437959</v>
      </c>
      <c r="L35" s="552">
        <v>261378959</v>
      </c>
      <c r="P35" s="1174" t="s">
        <v>2269</v>
      </c>
    </row>
    <row r="36" spans="1:16" ht="21" customHeight="1">
      <c r="A36" s="298">
        <v>27</v>
      </c>
      <c r="B36" s="335" t="s">
        <v>2270</v>
      </c>
      <c r="C36" s="792" t="s">
        <v>2209</v>
      </c>
      <c r="D36" s="552">
        <v>20975605</v>
      </c>
      <c r="E36" s="552">
        <v>36680028</v>
      </c>
      <c r="F36" s="552">
        <v>57655633</v>
      </c>
      <c r="G36" s="552">
        <v>19324793</v>
      </c>
      <c r="H36" s="552">
        <v>37638032</v>
      </c>
      <c r="I36" s="552">
        <v>56962824</v>
      </c>
      <c r="J36" s="552">
        <v>12783856</v>
      </c>
      <c r="K36" s="552">
        <v>43377166</v>
      </c>
      <c r="L36" s="552">
        <v>56161022</v>
      </c>
      <c r="M36" s="1067">
        <v>8590472</v>
      </c>
      <c r="N36" s="1067">
        <v>47416654</v>
      </c>
      <c r="O36" s="1067">
        <v>56007126</v>
      </c>
      <c r="P36" s="1174" t="s">
        <v>2271</v>
      </c>
    </row>
    <row r="37" spans="1:16" ht="21" customHeight="1">
      <c r="A37" s="298">
        <v>28</v>
      </c>
      <c r="B37" s="335" t="s">
        <v>2272</v>
      </c>
      <c r="C37" s="792"/>
      <c r="D37" s="552"/>
      <c r="E37" s="552"/>
      <c r="F37" s="552"/>
      <c r="G37" s="552"/>
      <c r="H37" s="552"/>
      <c r="I37" s="552"/>
      <c r="J37" s="552"/>
      <c r="K37" s="552"/>
      <c r="L37" s="552"/>
      <c r="M37" s="1071"/>
      <c r="N37" s="1071"/>
      <c r="O37" s="1071"/>
      <c r="P37" s="1174" t="s">
        <v>2273</v>
      </c>
    </row>
    <row r="38" spans="1:16" ht="21" customHeight="1" thickBot="1">
      <c r="A38" s="1570"/>
      <c r="B38" s="1571" t="s">
        <v>2274</v>
      </c>
      <c r="C38" s="1598" t="s">
        <v>2275</v>
      </c>
      <c r="D38" s="1573">
        <v>19253951</v>
      </c>
      <c r="E38" s="1573">
        <v>371035286</v>
      </c>
      <c r="F38" s="1573">
        <v>390289237</v>
      </c>
      <c r="G38" s="1573">
        <v>24124537</v>
      </c>
      <c r="H38" s="1573">
        <v>469570375</v>
      </c>
      <c r="I38" s="1573">
        <v>493694912</v>
      </c>
      <c r="J38" s="1573">
        <v>17228174</v>
      </c>
      <c r="K38" s="1573">
        <v>484611458</v>
      </c>
      <c r="L38" s="1573">
        <v>501839632</v>
      </c>
      <c r="M38" s="1599">
        <v>23728100</v>
      </c>
      <c r="N38" s="1599">
        <v>494506270</v>
      </c>
      <c r="O38" s="1599">
        <v>518234370</v>
      </c>
      <c r="P38" s="1600" t="s">
        <v>2276</v>
      </c>
    </row>
    <row r="39" spans="1:16" ht="21" customHeight="1" thickTop="1">
      <c r="A39" s="1555"/>
      <c r="B39" s="1593" t="s">
        <v>2277</v>
      </c>
      <c r="C39" s="1594" t="s">
        <v>2275</v>
      </c>
      <c r="D39" s="1568">
        <v>85.12</v>
      </c>
      <c r="E39" s="1568">
        <v>405.69</v>
      </c>
      <c r="F39" s="1568">
        <v>490.81</v>
      </c>
      <c r="G39" s="1568">
        <v>110.54</v>
      </c>
      <c r="H39" s="1568">
        <v>549.29999999999995</v>
      </c>
      <c r="I39" s="1568">
        <v>659.84</v>
      </c>
      <c r="J39" s="1568">
        <v>70.09</v>
      </c>
      <c r="K39" s="1568">
        <v>584.65</v>
      </c>
      <c r="L39" s="1568">
        <v>654.74</v>
      </c>
      <c r="M39" s="1595">
        <v>92.76</v>
      </c>
      <c r="N39" s="1596">
        <v>514.5</v>
      </c>
      <c r="O39" s="1595">
        <v>607.26</v>
      </c>
      <c r="P39" s="1597" t="s">
        <v>2278</v>
      </c>
    </row>
    <row r="40" spans="1:16" ht="21" customHeight="1">
      <c r="A40" s="298"/>
      <c r="B40" s="333" t="s">
        <v>2279</v>
      </c>
      <c r="C40" s="792" t="s">
        <v>2275</v>
      </c>
      <c r="D40" s="552">
        <v>0</v>
      </c>
      <c r="E40" s="552">
        <v>26121000</v>
      </c>
      <c r="F40" s="552">
        <v>26121000</v>
      </c>
      <c r="G40" s="552" t="s">
        <v>47</v>
      </c>
      <c r="H40" s="552">
        <v>26121000</v>
      </c>
      <c r="I40" s="552">
        <v>26121000</v>
      </c>
      <c r="J40" s="552">
        <v>0</v>
      </c>
      <c r="K40" s="552">
        <v>26121000</v>
      </c>
      <c r="L40" s="552">
        <v>26121000</v>
      </c>
      <c r="M40" s="1066">
        <v>0</v>
      </c>
      <c r="N40" s="1067">
        <v>26121000</v>
      </c>
      <c r="O40" s="1067">
        <v>26121000</v>
      </c>
      <c r="P40" s="1176" t="s">
        <v>2280</v>
      </c>
    </row>
    <row r="41" spans="1:16" ht="21" customHeight="1">
      <c r="A41" s="298"/>
      <c r="B41" s="333" t="s">
        <v>2281</v>
      </c>
      <c r="C41" s="792" t="s">
        <v>2275</v>
      </c>
      <c r="D41" s="552">
        <v>0</v>
      </c>
      <c r="E41" s="552">
        <v>5.86</v>
      </c>
      <c r="F41" s="552">
        <v>5.86</v>
      </c>
      <c r="G41" s="552" t="s">
        <v>47</v>
      </c>
      <c r="H41" s="552">
        <v>5.86</v>
      </c>
      <c r="I41" s="552">
        <v>5.86</v>
      </c>
      <c r="J41" s="552">
        <v>0</v>
      </c>
      <c r="K41" s="552">
        <v>5.86</v>
      </c>
      <c r="L41" s="552">
        <v>5.86</v>
      </c>
      <c r="M41" s="1066">
        <v>0</v>
      </c>
      <c r="N41" s="1073">
        <v>5.86</v>
      </c>
      <c r="O41" s="1073">
        <v>5.86</v>
      </c>
      <c r="P41" s="1176" t="s">
        <v>2282</v>
      </c>
    </row>
    <row r="42" spans="1:16" ht="21" customHeight="1">
      <c r="A42" s="298">
        <v>29</v>
      </c>
      <c r="B42" s="335" t="s">
        <v>2283</v>
      </c>
      <c r="C42" s="1074" t="s">
        <v>2284</v>
      </c>
      <c r="D42" s="552">
        <v>1130024</v>
      </c>
      <c r="E42" s="552">
        <v>36295977</v>
      </c>
      <c r="F42" s="552">
        <v>37426001</v>
      </c>
      <c r="G42" s="552">
        <v>263692</v>
      </c>
      <c r="H42" s="552">
        <v>45966608</v>
      </c>
      <c r="I42" s="552">
        <v>46230300</v>
      </c>
      <c r="J42" s="552">
        <v>263692</v>
      </c>
      <c r="K42" s="552">
        <v>46056098</v>
      </c>
      <c r="L42" s="552">
        <v>46319790</v>
      </c>
      <c r="P42" s="1174" t="s">
        <v>2285</v>
      </c>
    </row>
    <row r="43" spans="1:16" ht="21" customHeight="1">
      <c r="A43" s="298">
        <v>30</v>
      </c>
      <c r="B43" s="335" t="s">
        <v>2286</v>
      </c>
      <c r="C43" s="333" t="s">
        <v>2209</v>
      </c>
      <c r="D43" s="552">
        <v>10749908</v>
      </c>
      <c r="E43" s="552">
        <v>158025030</v>
      </c>
      <c r="F43" s="552">
        <v>168774939</v>
      </c>
      <c r="G43" s="552">
        <v>8031864</v>
      </c>
      <c r="H43" s="552">
        <v>166817781</v>
      </c>
      <c r="I43" s="552">
        <v>174849645</v>
      </c>
      <c r="J43" s="552">
        <v>7960793</v>
      </c>
      <c r="K43" s="552">
        <v>186925987</v>
      </c>
      <c r="L43" s="552">
        <v>194886779</v>
      </c>
      <c r="M43" s="1067">
        <v>8563411</v>
      </c>
      <c r="N43" s="1067">
        <v>203060176</v>
      </c>
      <c r="O43" s="1067">
        <v>211623587</v>
      </c>
      <c r="P43" s="1174" t="s">
        <v>2287</v>
      </c>
    </row>
    <row r="44" spans="1:16" ht="21" customHeight="1">
      <c r="A44" s="298">
        <v>31</v>
      </c>
      <c r="B44" s="335" t="s">
        <v>2288</v>
      </c>
      <c r="C44" s="1074" t="s">
        <v>2203</v>
      </c>
      <c r="D44" s="552">
        <v>68658</v>
      </c>
      <c r="E44" s="552">
        <v>1168218</v>
      </c>
      <c r="F44" s="552">
        <v>1236876</v>
      </c>
      <c r="G44" s="552">
        <v>39096</v>
      </c>
      <c r="H44" s="552">
        <v>1247402</v>
      </c>
      <c r="I44" s="552">
        <v>1286498</v>
      </c>
      <c r="J44" s="552">
        <v>36621</v>
      </c>
      <c r="K44" s="552">
        <v>1292892</v>
      </c>
      <c r="L44" s="552">
        <v>1329513</v>
      </c>
      <c r="P44" s="1174" t="s">
        <v>2289</v>
      </c>
    </row>
    <row r="45" spans="1:16" ht="29.25" customHeight="1">
      <c r="A45" s="298">
        <v>32</v>
      </c>
      <c r="B45" s="335" t="s">
        <v>2290</v>
      </c>
      <c r="C45" s="1074" t="s">
        <v>2203</v>
      </c>
      <c r="D45" s="552">
        <v>7004168</v>
      </c>
      <c r="E45" s="552">
        <v>7626219</v>
      </c>
      <c r="F45" s="552">
        <v>14630387</v>
      </c>
      <c r="G45" s="552">
        <v>8093546</v>
      </c>
      <c r="H45" s="552">
        <v>9788551</v>
      </c>
      <c r="I45" s="552">
        <v>17882097</v>
      </c>
      <c r="J45" s="552">
        <v>5421751</v>
      </c>
      <c r="K45" s="552">
        <v>17065214</v>
      </c>
      <c r="L45" s="552">
        <v>22486965</v>
      </c>
      <c r="M45" s="1067">
        <v>6209034</v>
      </c>
      <c r="N45" s="1067">
        <v>17848870</v>
      </c>
      <c r="O45" s="1067">
        <v>24057905</v>
      </c>
      <c r="P45" s="1174" t="s">
        <v>2291</v>
      </c>
    </row>
    <row r="46" spans="1:16" ht="29.25" customHeight="1">
      <c r="A46" s="298">
        <v>33</v>
      </c>
      <c r="B46" s="335" t="s">
        <v>2292</v>
      </c>
      <c r="C46" s="1074" t="s">
        <v>2203</v>
      </c>
      <c r="D46" s="552">
        <v>58503</v>
      </c>
      <c r="E46" s="552">
        <v>10560978</v>
      </c>
      <c r="F46" s="552">
        <v>10619481</v>
      </c>
      <c r="G46" s="552">
        <v>21755</v>
      </c>
      <c r="H46" s="552">
        <v>10622305</v>
      </c>
      <c r="I46" s="552">
        <v>10644060</v>
      </c>
      <c r="J46" s="552">
        <v>52699</v>
      </c>
      <c r="K46" s="552">
        <v>10736455</v>
      </c>
      <c r="L46" s="552">
        <v>10789155</v>
      </c>
      <c r="M46" s="1067">
        <v>202823</v>
      </c>
      <c r="N46" s="1067">
        <v>11024791</v>
      </c>
      <c r="O46" s="1067">
        <v>11227614</v>
      </c>
      <c r="P46" s="1174" t="s">
        <v>2293</v>
      </c>
    </row>
    <row r="47" spans="1:16" ht="21" customHeight="1">
      <c r="A47" s="298">
        <v>34</v>
      </c>
      <c r="B47" s="335" t="s">
        <v>2294</v>
      </c>
      <c r="C47" s="333" t="s">
        <v>2209</v>
      </c>
      <c r="D47" s="552">
        <v>1374191</v>
      </c>
      <c r="E47" s="552">
        <v>101239031</v>
      </c>
      <c r="F47" s="552">
        <v>102613222</v>
      </c>
      <c r="G47" s="552">
        <v>1574853</v>
      </c>
      <c r="H47" s="552">
        <v>101670767</v>
      </c>
      <c r="I47" s="552">
        <v>103245620</v>
      </c>
      <c r="J47" s="552">
        <v>688079</v>
      </c>
      <c r="K47" s="552">
        <v>104293480</v>
      </c>
      <c r="L47" s="552">
        <v>104981559</v>
      </c>
      <c r="M47" s="1067">
        <v>846865</v>
      </c>
      <c r="N47" s="1067">
        <v>104835455</v>
      </c>
      <c r="O47" s="1067">
        <v>105682321</v>
      </c>
      <c r="P47" s="1174" t="s">
        <v>2295</v>
      </c>
    </row>
    <row r="48" spans="1:16" ht="21" customHeight="1">
      <c r="A48" s="298">
        <v>35</v>
      </c>
      <c r="B48" s="335" t="s">
        <v>2296</v>
      </c>
      <c r="C48" s="1074" t="s">
        <v>2203</v>
      </c>
      <c r="D48" s="552"/>
      <c r="E48" s="552"/>
      <c r="F48" s="552"/>
      <c r="G48" s="552">
        <v>24714</v>
      </c>
      <c r="H48" s="552">
        <v>446119</v>
      </c>
      <c r="I48" s="552">
        <v>470833</v>
      </c>
      <c r="J48" s="552">
        <v>124733</v>
      </c>
      <c r="K48" s="552">
        <v>581819</v>
      </c>
      <c r="L48" s="552">
        <v>706552</v>
      </c>
      <c r="M48" s="1071"/>
      <c r="N48" s="1071"/>
      <c r="O48" s="1071"/>
      <c r="P48" s="1174" t="s">
        <v>2297</v>
      </c>
    </row>
    <row r="49" spans="1:16" ht="21" customHeight="1">
      <c r="A49" s="298">
        <v>36</v>
      </c>
      <c r="B49" s="335" t="s">
        <v>2298</v>
      </c>
      <c r="C49" s="1074"/>
      <c r="D49" s="552"/>
      <c r="E49" s="552"/>
      <c r="F49" s="552"/>
      <c r="G49" s="552"/>
      <c r="H49" s="552"/>
      <c r="I49" s="552"/>
      <c r="J49" s="552"/>
      <c r="K49" s="552"/>
      <c r="L49" s="552"/>
      <c r="P49" s="1174" t="s">
        <v>2299</v>
      </c>
    </row>
    <row r="50" spans="1:16" ht="21" customHeight="1">
      <c r="A50" s="298"/>
      <c r="B50" s="335" t="s">
        <v>2243</v>
      </c>
      <c r="C50" s="1074" t="s">
        <v>2203</v>
      </c>
      <c r="D50" s="552">
        <v>125754</v>
      </c>
      <c r="E50" s="552">
        <v>396826</v>
      </c>
      <c r="F50" s="552">
        <v>522580</v>
      </c>
      <c r="G50" s="552">
        <v>108980</v>
      </c>
      <c r="H50" s="552">
        <v>576615</v>
      </c>
      <c r="I50" s="552">
        <v>685595</v>
      </c>
      <c r="J50" s="552">
        <v>106116</v>
      </c>
      <c r="K50" s="552">
        <v>643343</v>
      </c>
      <c r="L50" s="552">
        <v>749459</v>
      </c>
      <c r="M50" s="1067">
        <v>103275</v>
      </c>
      <c r="N50" s="1067">
        <v>663222</v>
      </c>
      <c r="O50" s="1067">
        <v>766497</v>
      </c>
      <c r="P50" s="1175" t="s">
        <v>2213</v>
      </c>
    </row>
    <row r="51" spans="1:16" ht="21" customHeight="1">
      <c r="A51" s="298"/>
      <c r="B51" s="333" t="s">
        <v>2300</v>
      </c>
      <c r="C51" s="1074" t="s">
        <v>2203</v>
      </c>
      <c r="D51" s="552">
        <v>2590.5500000000002</v>
      </c>
      <c r="E51" s="552">
        <v>4616.7</v>
      </c>
      <c r="F51" s="552">
        <v>7207.25</v>
      </c>
      <c r="G51" s="552">
        <v>2245.0100000000002</v>
      </c>
      <c r="H51" s="552">
        <v>9304.3799999999992</v>
      </c>
      <c r="I51" s="552">
        <v>11549.39</v>
      </c>
      <c r="J51" s="552">
        <v>2482.34</v>
      </c>
      <c r="K51" s="552">
        <v>10521.36</v>
      </c>
      <c r="L51" s="552">
        <v>13003.7</v>
      </c>
      <c r="M51" s="1072">
        <v>1900.19</v>
      </c>
      <c r="N51" s="1075">
        <v>10969.8</v>
      </c>
      <c r="O51" s="1072">
        <v>12869.99</v>
      </c>
      <c r="P51" s="1176" t="s">
        <v>2301</v>
      </c>
    </row>
    <row r="52" spans="1:16" ht="21" customHeight="1">
      <c r="A52" s="298"/>
      <c r="B52" s="333" t="s">
        <v>2302</v>
      </c>
      <c r="C52" s="1074" t="s">
        <v>2203</v>
      </c>
      <c r="D52" s="552">
        <v>11092.89</v>
      </c>
      <c r="E52" s="552">
        <v>13166.79</v>
      </c>
      <c r="F52" s="552">
        <v>24259.68</v>
      </c>
      <c r="G52" s="552">
        <v>12453.26</v>
      </c>
      <c r="H52" s="552">
        <v>24211.64</v>
      </c>
      <c r="I52" s="552">
        <v>36664.9</v>
      </c>
      <c r="J52" s="552">
        <v>9999.52</v>
      </c>
      <c r="K52" s="552">
        <v>26363.24</v>
      </c>
      <c r="L52" s="552">
        <v>36362.76</v>
      </c>
      <c r="M52" s="1072">
        <v>7438.05</v>
      </c>
      <c r="N52" s="1072">
        <v>25732.32</v>
      </c>
      <c r="O52" s="1072">
        <v>33170.370000000003</v>
      </c>
      <c r="P52" s="1176" t="s">
        <v>2303</v>
      </c>
    </row>
    <row r="53" spans="1:16" ht="21" customHeight="1">
      <c r="A53" s="298"/>
      <c r="B53" s="333" t="s">
        <v>2304</v>
      </c>
      <c r="C53" s="1074" t="s">
        <v>2203</v>
      </c>
      <c r="D53" s="552">
        <v>0</v>
      </c>
      <c r="E53" s="552">
        <v>118.45</v>
      </c>
      <c r="F53" s="552">
        <v>118.45</v>
      </c>
      <c r="G53" s="552">
        <v>0</v>
      </c>
      <c r="H53" s="552">
        <v>118.45</v>
      </c>
      <c r="I53" s="552">
        <v>118.45</v>
      </c>
      <c r="J53" s="552">
        <v>0</v>
      </c>
      <c r="K53" s="552">
        <v>143.13</v>
      </c>
      <c r="L53" s="552">
        <v>143.13</v>
      </c>
      <c r="M53" s="1066">
        <v>0</v>
      </c>
      <c r="N53" s="1073">
        <v>143.13</v>
      </c>
      <c r="O53" s="1073">
        <v>143.13</v>
      </c>
      <c r="P53" s="1176" t="s">
        <v>2305</v>
      </c>
    </row>
    <row r="54" spans="1:16" ht="21" customHeight="1">
      <c r="A54" s="298">
        <v>37</v>
      </c>
      <c r="B54" s="335" t="s">
        <v>2306</v>
      </c>
      <c r="C54" s="1074" t="s">
        <v>2203</v>
      </c>
      <c r="D54" s="552">
        <v>12715317</v>
      </c>
      <c r="E54" s="552">
        <v>162629584</v>
      </c>
      <c r="F54" s="552">
        <v>175344901</v>
      </c>
      <c r="G54" s="552">
        <v>14926392</v>
      </c>
      <c r="H54" s="552">
        <v>170008720</v>
      </c>
      <c r="I54" s="552">
        <v>184935112</v>
      </c>
      <c r="J54" s="552">
        <v>16335753</v>
      </c>
      <c r="K54" s="552">
        <v>186888998</v>
      </c>
      <c r="L54" s="552">
        <v>203224752</v>
      </c>
      <c r="M54" s="1067">
        <v>19028470</v>
      </c>
      <c r="N54" s="1067">
        <v>208560789</v>
      </c>
      <c r="O54" s="1067">
        <v>227589259</v>
      </c>
      <c r="P54" s="1174" t="s">
        <v>2307</v>
      </c>
    </row>
    <row r="55" spans="1:16" ht="21" customHeight="1">
      <c r="A55" s="298">
        <v>38</v>
      </c>
      <c r="B55" s="335" t="s">
        <v>2308</v>
      </c>
      <c r="C55" s="1074" t="s">
        <v>2203</v>
      </c>
      <c r="D55" s="552">
        <v>76133</v>
      </c>
      <c r="E55" s="552">
        <v>261749</v>
      </c>
      <c r="F55" s="552">
        <v>337882</v>
      </c>
      <c r="G55" s="552">
        <v>41950</v>
      </c>
      <c r="H55" s="552">
        <v>293222</v>
      </c>
      <c r="I55" s="552">
        <v>335172</v>
      </c>
      <c r="J55" s="552">
        <v>82276</v>
      </c>
      <c r="K55" s="552">
        <v>311711</v>
      </c>
      <c r="L55" s="552">
        <v>393988</v>
      </c>
      <c r="M55" s="1067">
        <v>66070</v>
      </c>
      <c r="N55" s="1066">
        <v>393047</v>
      </c>
      <c r="O55" s="1067">
        <v>459117</v>
      </c>
      <c r="P55" s="1174" t="s">
        <v>2309</v>
      </c>
    </row>
    <row r="56" spans="1:16" ht="21" customHeight="1">
      <c r="A56" s="298">
        <v>39</v>
      </c>
      <c r="B56" s="335" t="s">
        <v>2310</v>
      </c>
      <c r="C56" s="1064" t="s">
        <v>2203</v>
      </c>
      <c r="D56" s="552">
        <v>138151</v>
      </c>
      <c r="E56" s="552">
        <v>240418</v>
      </c>
      <c r="F56" s="552">
        <v>378569</v>
      </c>
      <c r="G56" s="552">
        <v>141977</v>
      </c>
      <c r="H56" s="552">
        <v>288003</v>
      </c>
      <c r="I56" s="552">
        <v>429980</v>
      </c>
      <c r="J56" s="552">
        <v>93475</v>
      </c>
      <c r="K56" s="552">
        <v>402399</v>
      </c>
      <c r="L56" s="552">
        <v>495874</v>
      </c>
      <c r="M56" s="1067">
        <v>75041</v>
      </c>
      <c r="N56" s="1067">
        <v>428583</v>
      </c>
      <c r="O56" s="1067">
        <v>503624</v>
      </c>
      <c r="P56" s="1174" t="s">
        <v>2311</v>
      </c>
    </row>
    <row r="57" spans="1:16" ht="21" customHeight="1">
      <c r="A57" s="298">
        <v>40</v>
      </c>
      <c r="B57" s="335" t="s">
        <v>2312</v>
      </c>
      <c r="C57" s="1064" t="s">
        <v>2203</v>
      </c>
      <c r="D57" s="552">
        <v>4700</v>
      </c>
      <c r="E57" s="552">
        <v>1787938</v>
      </c>
      <c r="F57" s="552">
        <v>1792638</v>
      </c>
      <c r="G57" s="552">
        <v>276495</v>
      </c>
      <c r="H57" s="552">
        <v>1654968</v>
      </c>
      <c r="I57" s="552">
        <v>1931463</v>
      </c>
      <c r="J57" s="552">
        <v>4551</v>
      </c>
      <c r="K57" s="552">
        <v>1941341</v>
      </c>
      <c r="L57" s="552">
        <v>1945891</v>
      </c>
      <c r="P57" s="1174" t="s">
        <v>2313</v>
      </c>
    </row>
    <row r="58" spans="1:16" ht="21" customHeight="1">
      <c r="A58" s="298">
        <v>41</v>
      </c>
      <c r="B58" s="335" t="s">
        <v>2314</v>
      </c>
      <c r="C58" s="792" t="s">
        <v>2209</v>
      </c>
      <c r="D58" s="552"/>
      <c r="E58" s="552"/>
      <c r="F58" s="552"/>
      <c r="G58" s="552">
        <v>139976150</v>
      </c>
      <c r="H58" s="552">
        <v>11704870</v>
      </c>
      <c r="I58" s="552">
        <v>151681020</v>
      </c>
      <c r="J58" s="552">
        <v>123855856</v>
      </c>
      <c r="K58" s="552">
        <v>11704870</v>
      </c>
      <c r="L58" s="552">
        <v>135560726</v>
      </c>
      <c r="M58" s="1067">
        <v>68145000</v>
      </c>
      <c r="N58" s="1067">
        <v>31053477</v>
      </c>
      <c r="O58" s="1067">
        <v>99198477</v>
      </c>
      <c r="P58" s="1174" t="s">
        <v>2315</v>
      </c>
    </row>
    <row r="59" spans="1:16" ht="21" customHeight="1">
      <c r="A59" s="298">
        <v>42</v>
      </c>
      <c r="B59" s="335" t="s">
        <v>2316</v>
      </c>
      <c r="C59" s="792" t="s">
        <v>2259</v>
      </c>
      <c r="D59" s="552">
        <v>68569843</v>
      </c>
      <c r="E59" s="552">
        <v>325285576</v>
      </c>
      <c r="F59" s="552">
        <v>393855419</v>
      </c>
      <c r="G59" s="552">
        <v>190741448</v>
      </c>
      <c r="H59" s="552">
        <v>341495531</v>
      </c>
      <c r="I59" s="552">
        <v>532236979</v>
      </c>
      <c r="J59" s="552">
        <v>114432777</v>
      </c>
      <c r="K59" s="552">
        <v>520869364</v>
      </c>
      <c r="L59" s="552">
        <v>635302141</v>
      </c>
      <c r="P59" s="1174" t="s">
        <v>2317</v>
      </c>
    </row>
    <row r="60" spans="1:16" ht="21" customHeight="1">
      <c r="A60" s="298">
        <v>43</v>
      </c>
      <c r="B60" s="335" t="s">
        <v>2318</v>
      </c>
      <c r="C60" s="792"/>
      <c r="D60" s="552"/>
      <c r="E60" s="552"/>
      <c r="F60" s="552"/>
      <c r="G60" s="552"/>
      <c r="H60" s="552"/>
      <c r="I60" s="552"/>
      <c r="J60" s="552"/>
      <c r="K60" s="552"/>
      <c r="L60" s="552"/>
      <c r="P60" s="1174" t="s">
        <v>2319</v>
      </c>
    </row>
    <row r="61" spans="1:16" ht="21" customHeight="1">
      <c r="A61" s="298"/>
      <c r="B61" s="335" t="s">
        <v>2243</v>
      </c>
      <c r="C61" s="792" t="s">
        <v>2209</v>
      </c>
      <c r="D61" s="552">
        <v>1500000</v>
      </c>
      <c r="E61" s="552">
        <v>17786732</v>
      </c>
      <c r="F61" s="552">
        <v>19286732</v>
      </c>
      <c r="G61" s="552" t="s">
        <v>47</v>
      </c>
      <c r="H61" s="552">
        <v>19286732</v>
      </c>
      <c r="I61" s="552">
        <v>19286732</v>
      </c>
      <c r="J61" s="552">
        <v>0</v>
      </c>
      <c r="K61" s="552">
        <v>19371698</v>
      </c>
      <c r="L61" s="552">
        <v>19371698</v>
      </c>
      <c r="M61" s="1066">
        <v>0</v>
      </c>
      <c r="N61" s="1067">
        <v>27203398</v>
      </c>
      <c r="O61" s="1067">
        <v>27203398</v>
      </c>
      <c r="P61" s="1175" t="s">
        <v>2213</v>
      </c>
    </row>
    <row r="62" spans="1:16" ht="21" customHeight="1">
      <c r="A62" s="298"/>
      <c r="B62" s="333" t="s">
        <v>2320</v>
      </c>
      <c r="C62" s="792" t="s">
        <v>2209</v>
      </c>
      <c r="D62" s="552">
        <v>1050</v>
      </c>
      <c r="E62" s="552">
        <v>11590</v>
      </c>
      <c r="F62" s="552">
        <v>12640</v>
      </c>
      <c r="G62" s="552" t="s">
        <v>47</v>
      </c>
      <c r="H62" s="552">
        <v>12640</v>
      </c>
      <c r="I62" s="552">
        <v>12640</v>
      </c>
      <c r="J62" s="552">
        <v>0</v>
      </c>
      <c r="K62" s="552">
        <v>12668.37</v>
      </c>
      <c r="L62" s="552">
        <v>12668.37</v>
      </c>
      <c r="M62" s="1066">
        <v>0</v>
      </c>
      <c r="N62" s="1072">
        <v>16890.560000000001</v>
      </c>
      <c r="O62" s="1072">
        <v>16890.560000000001</v>
      </c>
      <c r="P62" s="1176" t="s">
        <v>2321</v>
      </c>
    </row>
    <row r="63" spans="1:16" ht="21" customHeight="1">
      <c r="A63" s="298">
        <v>44</v>
      </c>
      <c r="B63" s="335" t="s">
        <v>2322</v>
      </c>
      <c r="C63" s="792" t="s">
        <v>2239</v>
      </c>
      <c r="D63" s="552">
        <v>0</v>
      </c>
      <c r="E63" s="552">
        <v>188.71</v>
      </c>
      <c r="F63" s="552">
        <v>188.71</v>
      </c>
      <c r="G63" s="552" t="s">
        <v>47</v>
      </c>
      <c r="H63" s="552">
        <v>189</v>
      </c>
      <c r="I63" s="552">
        <v>189</v>
      </c>
      <c r="J63" s="552">
        <v>0</v>
      </c>
      <c r="K63" s="552">
        <v>189</v>
      </c>
      <c r="L63" s="552">
        <v>189</v>
      </c>
      <c r="M63" s="1066">
        <v>0</v>
      </c>
      <c r="N63" s="1066">
        <v>189</v>
      </c>
      <c r="O63" s="1066">
        <v>189</v>
      </c>
      <c r="P63" s="1174" t="s">
        <v>2323</v>
      </c>
    </row>
    <row r="64" spans="1:16" ht="21" customHeight="1">
      <c r="A64" s="298">
        <v>45</v>
      </c>
      <c r="B64" s="335" t="s">
        <v>2324</v>
      </c>
      <c r="C64" s="792" t="s">
        <v>2209</v>
      </c>
      <c r="D64" s="552">
        <v>47867858</v>
      </c>
      <c r="E64" s="552">
        <v>45573436</v>
      </c>
      <c r="F64" s="552">
        <v>93441294</v>
      </c>
      <c r="G64" s="552">
        <v>54942176</v>
      </c>
      <c r="H64" s="552">
        <v>89319089</v>
      </c>
      <c r="I64" s="552">
        <v>144261265</v>
      </c>
      <c r="J64" s="552">
        <v>36933805</v>
      </c>
      <c r="K64" s="552">
        <v>130859201</v>
      </c>
      <c r="L64" s="552">
        <v>167793006</v>
      </c>
      <c r="P64" s="1174" t="s">
        <v>2325</v>
      </c>
    </row>
    <row r="65" spans="1:16" ht="21" customHeight="1">
      <c r="A65" s="298">
        <v>46</v>
      </c>
      <c r="B65" s="335" t="s">
        <v>2326</v>
      </c>
      <c r="C65" s="1064" t="s">
        <v>2203</v>
      </c>
      <c r="D65" s="552">
        <v>504</v>
      </c>
      <c r="E65" s="552">
        <v>1385</v>
      </c>
      <c r="F65" s="552">
        <v>1889</v>
      </c>
      <c r="G65" s="552">
        <v>428</v>
      </c>
      <c r="H65" s="552">
        <v>1978</v>
      </c>
      <c r="I65" s="552">
        <v>2406</v>
      </c>
      <c r="J65" s="552">
        <v>0</v>
      </c>
      <c r="K65" s="552">
        <v>2406</v>
      </c>
      <c r="L65" s="552">
        <v>2406</v>
      </c>
      <c r="M65" s="1066">
        <v>0</v>
      </c>
      <c r="N65" s="1067">
        <v>2406</v>
      </c>
      <c r="O65" s="1067">
        <v>2406</v>
      </c>
      <c r="P65" s="1174" t="s">
        <v>2327</v>
      </c>
    </row>
    <row r="66" spans="1:16" ht="29.25" customHeight="1">
      <c r="A66" s="298">
        <v>47</v>
      </c>
      <c r="B66" s="335" t="s">
        <v>2328</v>
      </c>
      <c r="C66" s="1076" t="s">
        <v>2329</v>
      </c>
      <c r="D66" s="552">
        <v>0</v>
      </c>
      <c r="E66" s="552">
        <v>14.2</v>
      </c>
      <c r="F66" s="552">
        <v>14.2</v>
      </c>
      <c r="G66" s="552" t="s">
        <v>47</v>
      </c>
      <c r="H66" s="552">
        <v>15.7</v>
      </c>
      <c r="I66" s="552">
        <v>15.7</v>
      </c>
      <c r="J66" s="552">
        <v>0</v>
      </c>
      <c r="K66" s="552">
        <v>15.71</v>
      </c>
      <c r="L66" s="552">
        <v>15.71</v>
      </c>
      <c r="M66" s="1066">
        <v>0</v>
      </c>
      <c r="N66" s="1073">
        <v>20.92</v>
      </c>
      <c r="O66" s="1073">
        <v>20.92</v>
      </c>
      <c r="P66" s="1174" t="s">
        <v>2330</v>
      </c>
    </row>
    <row r="67" spans="1:16" ht="21" customHeight="1">
      <c r="A67" s="298">
        <v>48</v>
      </c>
      <c r="B67" s="335" t="s">
        <v>2331</v>
      </c>
      <c r="C67" s="792" t="s">
        <v>2239</v>
      </c>
      <c r="D67" s="552">
        <v>0</v>
      </c>
      <c r="E67" s="552">
        <v>21815</v>
      </c>
      <c r="F67" s="552">
        <v>21815</v>
      </c>
      <c r="G67" s="552" t="s">
        <v>47</v>
      </c>
      <c r="H67" s="552">
        <v>21816</v>
      </c>
      <c r="I67" s="552">
        <v>21816</v>
      </c>
      <c r="J67" s="552">
        <v>0</v>
      </c>
      <c r="K67" s="552">
        <v>22508</v>
      </c>
      <c r="L67" s="552">
        <v>22508</v>
      </c>
      <c r="M67" s="1066">
        <v>0</v>
      </c>
      <c r="N67" s="1067">
        <v>23091</v>
      </c>
      <c r="O67" s="1067">
        <v>23091</v>
      </c>
      <c r="P67" s="1174" t="s">
        <v>2332</v>
      </c>
    </row>
    <row r="68" spans="1:16" ht="21" customHeight="1">
      <c r="A68" s="298">
        <v>49</v>
      </c>
      <c r="B68" s="335" t="s">
        <v>2333</v>
      </c>
      <c r="C68" s="1064" t="s">
        <v>2203</v>
      </c>
      <c r="D68" s="552">
        <v>56726</v>
      </c>
      <c r="E68" s="552">
        <v>1617675</v>
      </c>
      <c r="F68" s="552">
        <v>1674401</v>
      </c>
      <c r="G68" s="552" t="s">
        <v>47</v>
      </c>
      <c r="H68" s="552">
        <v>1674401</v>
      </c>
      <c r="I68" s="552">
        <v>1674401</v>
      </c>
      <c r="J68" s="552">
        <v>0</v>
      </c>
      <c r="K68" s="552">
        <v>1674401</v>
      </c>
      <c r="L68" s="552">
        <v>1674401</v>
      </c>
      <c r="M68" s="1066">
        <v>0</v>
      </c>
      <c r="N68" s="1067">
        <v>1674401</v>
      </c>
      <c r="O68" s="1067">
        <v>1674401</v>
      </c>
      <c r="P68" s="1174" t="s">
        <v>2334</v>
      </c>
    </row>
    <row r="69" spans="1:16" ht="21" customHeight="1">
      <c r="A69" s="298">
        <v>50</v>
      </c>
      <c r="B69" s="335" t="s">
        <v>2335</v>
      </c>
      <c r="C69" s="792" t="s">
        <v>2209</v>
      </c>
      <c r="D69" s="552">
        <v>19489617</v>
      </c>
      <c r="E69" s="552">
        <v>14205319</v>
      </c>
      <c r="F69" s="552">
        <v>33694936</v>
      </c>
      <c r="G69" s="552">
        <v>23275451</v>
      </c>
      <c r="H69" s="552">
        <v>32807451</v>
      </c>
      <c r="I69" s="552">
        <v>56082902</v>
      </c>
      <c r="J69" s="552">
        <v>24932958</v>
      </c>
      <c r="K69" s="552">
        <v>34682745</v>
      </c>
      <c r="L69" s="552">
        <v>59615703</v>
      </c>
      <c r="P69" s="1174" t="s">
        <v>2336</v>
      </c>
    </row>
    <row r="70" spans="1:16" ht="21" customHeight="1" thickBot="1">
      <c r="A70" s="1570">
        <v>51</v>
      </c>
      <c r="B70" s="1571" t="s">
        <v>2337</v>
      </c>
      <c r="C70" s="1572" t="s">
        <v>2203</v>
      </c>
      <c r="D70" s="1573">
        <v>771508</v>
      </c>
      <c r="E70" s="1573">
        <v>2466703</v>
      </c>
      <c r="F70" s="1573">
        <v>3238211</v>
      </c>
      <c r="G70" s="1573">
        <v>429223</v>
      </c>
      <c r="H70" s="1573">
        <v>3069808</v>
      </c>
      <c r="I70" s="1573">
        <v>3499031</v>
      </c>
      <c r="J70" s="1573">
        <v>647522</v>
      </c>
      <c r="K70" s="1573">
        <v>3260298</v>
      </c>
      <c r="L70" s="1573">
        <v>3907819</v>
      </c>
      <c r="M70" s="206"/>
      <c r="N70" s="206"/>
      <c r="O70" s="206"/>
      <c r="P70" s="1574" t="s">
        <v>2338</v>
      </c>
    </row>
    <row r="71" spans="1:16" ht="21" customHeight="1" thickTop="1">
      <c r="A71" s="1555">
        <v>52</v>
      </c>
      <c r="B71" s="1566" t="s">
        <v>2339</v>
      </c>
      <c r="C71" s="1567" t="s">
        <v>2203</v>
      </c>
      <c r="D71" s="1568">
        <v>98544</v>
      </c>
      <c r="E71" s="1568">
        <v>1046413</v>
      </c>
      <c r="F71" s="1568">
        <v>1144957</v>
      </c>
      <c r="G71" s="1568">
        <v>86599</v>
      </c>
      <c r="H71" s="1568">
        <v>1164649</v>
      </c>
      <c r="I71" s="1568">
        <v>1251248</v>
      </c>
      <c r="J71" s="1568">
        <v>83472</v>
      </c>
      <c r="K71" s="1568">
        <v>1575325</v>
      </c>
      <c r="L71" s="1568">
        <v>1658798</v>
      </c>
      <c r="M71" s="1568"/>
      <c r="N71" s="1568"/>
      <c r="O71" s="1568"/>
      <c r="P71" s="1569" t="s">
        <v>2340</v>
      </c>
    </row>
    <row r="72" spans="1:16" ht="30.75" customHeight="1">
      <c r="A72" s="298">
        <v>53</v>
      </c>
      <c r="B72" s="335" t="s">
        <v>2341</v>
      </c>
      <c r="C72" s="333" t="s">
        <v>2209</v>
      </c>
      <c r="D72" s="552"/>
      <c r="E72" s="552"/>
      <c r="F72" s="552"/>
      <c r="G72" s="552"/>
      <c r="H72" s="552"/>
      <c r="I72" s="552"/>
      <c r="J72" s="552">
        <v>0</v>
      </c>
      <c r="K72" s="552">
        <v>25493</v>
      </c>
      <c r="L72" s="552">
        <v>25493</v>
      </c>
      <c r="M72" s="1066">
        <v>0</v>
      </c>
      <c r="N72" s="1067">
        <v>459727</v>
      </c>
      <c r="O72" s="1067">
        <v>459727</v>
      </c>
      <c r="P72" s="1174" t="s">
        <v>2342</v>
      </c>
    </row>
    <row r="73" spans="1:16" ht="21" customHeight="1">
      <c r="A73" s="298">
        <v>54</v>
      </c>
      <c r="B73" s="335" t="s">
        <v>2343</v>
      </c>
      <c r="C73" s="792" t="s">
        <v>2209</v>
      </c>
      <c r="D73" s="552">
        <v>52723492</v>
      </c>
      <c r="E73" s="552">
        <v>252585084</v>
      </c>
      <c r="F73" s="552">
        <v>305308576</v>
      </c>
      <c r="G73" s="552">
        <v>34778650</v>
      </c>
      <c r="H73" s="552">
        <v>261505701</v>
      </c>
      <c r="I73" s="552">
        <v>296284351</v>
      </c>
      <c r="J73" s="552">
        <v>45807485</v>
      </c>
      <c r="K73" s="552">
        <v>266871130</v>
      </c>
      <c r="L73" s="552">
        <v>312678615</v>
      </c>
      <c r="M73" s="1067">
        <v>30876093</v>
      </c>
      <c r="N73" s="1067">
        <v>280377392</v>
      </c>
      <c r="O73" s="1067">
        <v>311253485</v>
      </c>
      <c r="P73" s="1174" t="s">
        <v>2344</v>
      </c>
    </row>
    <row r="74" spans="1:16" ht="21" customHeight="1">
      <c r="A74" s="298">
        <v>55</v>
      </c>
      <c r="B74" s="335" t="s">
        <v>2345</v>
      </c>
      <c r="C74" s="1064" t="s">
        <v>2203</v>
      </c>
      <c r="D74" s="552">
        <v>13530</v>
      </c>
      <c r="E74" s="552">
        <v>0</v>
      </c>
      <c r="F74" s="552">
        <v>13530</v>
      </c>
      <c r="G74" s="552">
        <v>16026</v>
      </c>
      <c r="H74" s="552" t="s">
        <v>47</v>
      </c>
      <c r="I74" s="552">
        <v>16026</v>
      </c>
      <c r="J74" s="552">
        <v>0</v>
      </c>
      <c r="K74" s="552">
        <v>16025</v>
      </c>
      <c r="L74" s="552">
        <v>16025</v>
      </c>
      <c r="M74" s="1067">
        <v>3860</v>
      </c>
      <c r="N74" s="1067">
        <v>8920</v>
      </c>
      <c r="O74" s="1067">
        <v>12780</v>
      </c>
      <c r="P74" s="1174" t="s">
        <v>2346</v>
      </c>
    </row>
    <row r="75" spans="1:16" ht="21" customHeight="1">
      <c r="A75" s="298">
        <v>56</v>
      </c>
      <c r="B75" s="335" t="s">
        <v>2347</v>
      </c>
      <c r="C75" s="792" t="s">
        <v>2259</v>
      </c>
      <c r="D75" s="552">
        <v>1925.1</v>
      </c>
      <c r="E75" s="552">
        <v>3345.64</v>
      </c>
      <c r="F75" s="552">
        <v>5270.74</v>
      </c>
      <c r="G75" s="552">
        <v>236</v>
      </c>
      <c r="H75" s="552">
        <v>5112</v>
      </c>
      <c r="I75" s="552">
        <v>5348</v>
      </c>
      <c r="J75" s="552">
        <v>0</v>
      </c>
      <c r="K75" s="552">
        <v>5349</v>
      </c>
      <c r="L75" s="552">
        <v>5349</v>
      </c>
      <c r="M75" s="1066">
        <v>0</v>
      </c>
      <c r="N75" s="1067">
        <v>5349</v>
      </c>
      <c r="O75" s="1067">
        <v>5349</v>
      </c>
      <c r="P75" s="1174" t="s">
        <v>2348</v>
      </c>
    </row>
    <row r="76" spans="1:16" ht="21" customHeight="1">
      <c r="A76" s="298">
        <v>57</v>
      </c>
      <c r="B76" s="335" t="s">
        <v>2349</v>
      </c>
      <c r="C76" s="792" t="s">
        <v>2259</v>
      </c>
      <c r="D76" s="552">
        <v>0</v>
      </c>
      <c r="E76" s="552">
        <v>450</v>
      </c>
      <c r="F76" s="552">
        <v>450</v>
      </c>
      <c r="G76" s="552" t="s">
        <v>47</v>
      </c>
      <c r="H76" s="552">
        <v>450</v>
      </c>
      <c r="I76" s="552">
        <v>450</v>
      </c>
      <c r="J76" s="552">
        <v>0</v>
      </c>
      <c r="K76" s="552">
        <v>450</v>
      </c>
      <c r="L76" s="552">
        <v>450</v>
      </c>
      <c r="M76" s="1066">
        <v>0</v>
      </c>
      <c r="N76" s="1066">
        <v>450</v>
      </c>
      <c r="O76" s="1066">
        <v>450</v>
      </c>
      <c r="P76" s="1174" t="s">
        <v>2350</v>
      </c>
    </row>
    <row r="77" spans="1:16" ht="21" customHeight="1">
      <c r="A77" s="298">
        <v>58</v>
      </c>
      <c r="B77" s="335" t="s">
        <v>2351</v>
      </c>
      <c r="C77" s="1064" t="s">
        <v>2203</v>
      </c>
      <c r="D77" s="552"/>
      <c r="E77" s="552"/>
      <c r="F77" s="552"/>
      <c r="G77" s="552">
        <v>15331</v>
      </c>
      <c r="H77" s="552">
        <v>580</v>
      </c>
      <c r="I77" s="552">
        <v>15911</v>
      </c>
      <c r="J77" s="552">
        <v>15472</v>
      </c>
      <c r="K77" s="552">
        <v>3781</v>
      </c>
      <c r="L77" s="552">
        <v>19253</v>
      </c>
      <c r="P77" s="1174" t="s">
        <v>2352</v>
      </c>
    </row>
    <row r="78" spans="1:16" ht="21" customHeight="1">
      <c r="A78" s="298">
        <v>59</v>
      </c>
      <c r="B78" s="335" t="s">
        <v>2353</v>
      </c>
      <c r="C78" s="792" t="s">
        <v>2209</v>
      </c>
      <c r="D78" s="552">
        <v>11423994</v>
      </c>
      <c r="E78" s="552">
        <v>62915875</v>
      </c>
      <c r="F78" s="552">
        <v>74339869</v>
      </c>
      <c r="G78" s="552">
        <v>4085052</v>
      </c>
      <c r="H78" s="552">
        <v>62902385</v>
      </c>
      <c r="I78" s="552">
        <v>66987437</v>
      </c>
      <c r="J78" s="552">
        <v>6502115</v>
      </c>
      <c r="K78" s="552">
        <v>63702027</v>
      </c>
      <c r="L78" s="552">
        <v>70204142</v>
      </c>
      <c r="M78" s="1067">
        <v>8262300</v>
      </c>
      <c r="N78" s="1067">
        <v>64005091</v>
      </c>
      <c r="O78" s="1067">
        <v>72267391</v>
      </c>
      <c r="P78" s="1174" t="s">
        <v>2354</v>
      </c>
    </row>
    <row r="79" spans="1:16" ht="21" customHeight="1">
      <c r="A79" s="298">
        <v>60</v>
      </c>
      <c r="B79" s="335" t="s">
        <v>2355</v>
      </c>
      <c r="C79" s="792"/>
      <c r="D79" s="552"/>
      <c r="E79" s="552"/>
      <c r="F79" s="552"/>
      <c r="G79" s="552"/>
      <c r="H79" s="552"/>
      <c r="I79" s="552"/>
      <c r="J79" s="552"/>
      <c r="K79" s="552"/>
      <c r="L79" s="552"/>
      <c r="M79" s="1071"/>
      <c r="N79" s="1071"/>
      <c r="O79" s="1071"/>
      <c r="P79" s="1174" t="s">
        <v>2356</v>
      </c>
    </row>
    <row r="80" spans="1:16" ht="21" customHeight="1">
      <c r="A80" s="298"/>
      <c r="B80" s="335" t="s">
        <v>2243</v>
      </c>
      <c r="C80" s="792" t="s">
        <v>2209</v>
      </c>
      <c r="D80" s="552">
        <v>115912738</v>
      </c>
      <c r="E80" s="552">
        <v>128720729</v>
      </c>
      <c r="F80" s="552">
        <v>244633467</v>
      </c>
      <c r="G80" s="552">
        <v>187558668</v>
      </c>
      <c r="H80" s="552">
        <v>279426291</v>
      </c>
      <c r="I80" s="552">
        <v>466984959</v>
      </c>
      <c r="J80" s="552">
        <v>150443903</v>
      </c>
      <c r="K80" s="552">
        <v>361510732</v>
      </c>
      <c r="L80" s="552">
        <v>511954635</v>
      </c>
      <c r="M80" s="1077">
        <v>170446020</v>
      </c>
      <c r="N80" s="1066">
        <v>398197732</v>
      </c>
      <c r="O80" s="1067">
        <v>568643752</v>
      </c>
      <c r="P80" s="1175" t="s">
        <v>2213</v>
      </c>
    </row>
    <row r="81" spans="1:16" ht="21" customHeight="1">
      <c r="A81" s="298"/>
      <c r="B81" s="335" t="s">
        <v>2214</v>
      </c>
      <c r="C81" s="792" t="s">
        <v>2209</v>
      </c>
      <c r="D81" s="552">
        <v>6058.33</v>
      </c>
      <c r="E81" s="552">
        <v>4154.29</v>
      </c>
      <c r="F81" s="552">
        <v>10212.620000000001</v>
      </c>
      <c r="G81" s="552">
        <v>8039.57</v>
      </c>
      <c r="H81" s="552">
        <v>19588.68</v>
      </c>
      <c r="I81" s="552">
        <v>27628.25</v>
      </c>
      <c r="J81" s="552">
        <v>7171.94</v>
      </c>
      <c r="K81" s="552">
        <v>22809.88</v>
      </c>
      <c r="L81" s="552">
        <v>29981.82</v>
      </c>
      <c r="M81" s="1072">
        <v>7707.07</v>
      </c>
      <c r="N81" s="1072">
        <v>22560.84</v>
      </c>
      <c r="O81" s="1072">
        <v>30267.91</v>
      </c>
      <c r="P81" s="1175" t="s">
        <v>2215</v>
      </c>
    </row>
    <row r="82" spans="1:16" ht="21" customHeight="1">
      <c r="A82" s="298">
        <v>61</v>
      </c>
      <c r="B82" s="335" t="s">
        <v>2357</v>
      </c>
      <c r="C82" s="1064" t="s">
        <v>2203</v>
      </c>
      <c r="D82" s="552"/>
      <c r="E82" s="552"/>
      <c r="F82" s="552"/>
      <c r="G82" s="552">
        <v>0</v>
      </c>
      <c r="H82" s="552">
        <v>2369</v>
      </c>
      <c r="I82" s="552">
        <v>2369</v>
      </c>
      <c r="J82" s="552">
        <v>20286</v>
      </c>
      <c r="K82" s="552">
        <v>2586</v>
      </c>
      <c r="L82" s="552">
        <v>22872</v>
      </c>
      <c r="P82" s="1174" t="s">
        <v>2358</v>
      </c>
    </row>
    <row r="83" spans="1:16" ht="21" customHeight="1">
      <c r="A83" s="298">
        <v>62</v>
      </c>
      <c r="B83" s="335" t="s">
        <v>2359</v>
      </c>
      <c r="C83" s="1064" t="s">
        <v>2203</v>
      </c>
      <c r="D83" s="552">
        <v>0</v>
      </c>
      <c r="E83" s="552">
        <v>210</v>
      </c>
      <c r="F83" s="552">
        <v>210</v>
      </c>
      <c r="G83" s="552" t="s">
        <v>47</v>
      </c>
      <c r="H83" s="552">
        <v>210</v>
      </c>
      <c r="I83" s="552">
        <v>210</v>
      </c>
      <c r="J83" s="552">
        <v>0</v>
      </c>
      <c r="K83" s="552">
        <v>210</v>
      </c>
      <c r="L83" s="552">
        <v>210</v>
      </c>
      <c r="M83" s="1066">
        <v>0</v>
      </c>
      <c r="N83" s="1066">
        <v>210</v>
      </c>
      <c r="O83" s="1066">
        <v>210</v>
      </c>
      <c r="P83" s="1174" t="s">
        <v>2360</v>
      </c>
    </row>
    <row r="84" spans="1:16" ht="30.75" customHeight="1">
      <c r="A84" s="298">
        <v>63</v>
      </c>
      <c r="B84" s="335" t="s">
        <v>2361</v>
      </c>
      <c r="C84" s="1064" t="s">
        <v>2203</v>
      </c>
      <c r="D84" s="552">
        <v>115526</v>
      </c>
      <c r="E84" s="552">
        <v>196810</v>
      </c>
      <c r="F84" s="552">
        <v>312335</v>
      </c>
      <c r="G84" s="552">
        <v>90026</v>
      </c>
      <c r="H84" s="552">
        <v>178996</v>
      </c>
      <c r="I84" s="552">
        <v>269022</v>
      </c>
      <c r="J84" s="552">
        <v>106490</v>
      </c>
      <c r="K84" s="552">
        <v>209434</v>
      </c>
      <c r="L84" s="552">
        <v>315924</v>
      </c>
      <c r="M84" s="1071"/>
      <c r="N84" s="1071"/>
      <c r="O84" s="1071"/>
      <c r="P84" s="1174" t="s">
        <v>2362</v>
      </c>
    </row>
    <row r="85" spans="1:16" ht="21" customHeight="1">
      <c r="A85" s="298">
        <v>64</v>
      </c>
      <c r="B85" s="335" t="s">
        <v>2363</v>
      </c>
      <c r="C85" s="1064"/>
      <c r="D85" s="552"/>
      <c r="E85" s="552"/>
      <c r="F85" s="552"/>
      <c r="G85" s="552"/>
      <c r="H85" s="552"/>
      <c r="I85" s="552"/>
      <c r="J85" s="552"/>
      <c r="K85" s="552"/>
      <c r="L85" s="552"/>
      <c r="P85" s="1174" t="s">
        <v>2364</v>
      </c>
    </row>
    <row r="86" spans="1:16" ht="21" customHeight="1">
      <c r="A86" s="298"/>
      <c r="B86" s="335" t="s">
        <v>2243</v>
      </c>
      <c r="C86" s="792" t="s">
        <v>2209</v>
      </c>
      <c r="D86" s="552">
        <v>249497</v>
      </c>
      <c r="E86" s="552">
        <v>86302812</v>
      </c>
      <c r="F86" s="552">
        <v>86552310</v>
      </c>
      <c r="G86" s="552">
        <v>7131</v>
      </c>
      <c r="H86" s="552">
        <v>83719066</v>
      </c>
      <c r="I86" s="552">
        <v>83726197</v>
      </c>
      <c r="J86" s="552">
        <v>4419</v>
      </c>
      <c r="K86" s="552">
        <v>83720749</v>
      </c>
      <c r="L86" s="552">
        <v>83725168</v>
      </c>
      <c r="M86" s="1067">
        <v>2101</v>
      </c>
      <c r="N86" s="1067">
        <v>83720794</v>
      </c>
      <c r="O86" s="1067">
        <v>83722895</v>
      </c>
      <c r="P86" s="1175" t="s">
        <v>2213</v>
      </c>
    </row>
    <row r="87" spans="1:16" ht="21" customHeight="1">
      <c r="A87" s="298"/>
      <c r="B87" s="335" t="s">
        <v>2214</v>
      </c>
      <c r="C87" s="792" t="s">
        <v>2209</v>
      </c>
      <c r="D87" s="552">
        <v>134.08000000000001</v>
      </c>
      <c r="E87" s="552">
        <v>101103.02</v>
      </c>
      <c r="F87" s="552">
        <v>101237.1</v>
      </c>
      <c r="G87" s="552">
        <v>1132.43</v>
      </c>
      <c r="H87" s="552">
        <v>101142.41</v>
      </c>
      <c r="I87" s="552">
        <v>102274.84</v>
      </c>
      <c r="J87" s="552">
        <v>154.19999999999999</v>
      </c>
      <c r="K87" s="552">
        <v>102259.16</v>
      </c>
      <c r="L87" s="552">
        <v>102413.36</v>
      </c>
      <c r="M87" s="1073">
        <v>973.99</v>
      </c>
      <c r="N87" s="1072">
        <v>102782.91</v>
      </c>
      <c r="O87" s="1075">
        <v>103756.9</v>
      </c>
      <c r="P87" s="1175" t="s">
        <v>2215</v>
      </c>
    </row>
    <row r="88" spans="1:16" ht="21" customHeight="1">
      <c r="A88" s="298">
        <v>65</v>
      </c>
      <c r="B88" s="335" t="s">
        <v>2365</v>
      </c>
      <c r="C88" s="792" t="s">
        <v>2209</v>
      </c>
      <c r="D88" s="552">
        <f>21181587+2005554+669397+1292000+0</f>
        <v>25148538</v>
      </c>
      <c r="E88" s="552">
        <f>308360096+11800695+343943+39390094+3345000</f>
        <v>363239828</v>
      </c>
      <c r="F88" s="552">
        <f>329541683+13806249+1013340+40682094+3345000</f>
        <v>388388366</v>
      </c>
      <c r="G88" s="552">
        <v>22030223</v>
      </c>
      <c r="H88" s="552">
        <v>371965694</v>
      </c>
      <c r="I88" s="552">
        <v>393995917</v>
      </c>
      <c r="J88" s="552">
        <v>14420716</v>
      </c>
      <c r="K88" s="552">
        <v>399204829</v>
      </c>
      <c r="L88" s="552">
        <v>413625545</v>
      </c>
      <c r="M88" s="1067">
        <v>15998625</v>
      </c>
      <c r="N88" s="1067">
        <v>411108526</v>
      </c>
      <c r="O88" s="1067">
        <v>427107150</v>
      </c>
      <c r="P88" s="1174" t="s">
        <v>2366</v>
      </c>
    </row>
    <row r="89" spans="1:16" ht="21" customHeight="1">
      <c r="A89" s="298">
        <v>66</v>
      </c>
      <c r="B89" s="335" t="s">
        <v>2367</v>
      </c>
      <c r="C89" s="792"/>
      <c r="D89" s="552"/>
      <c r="E89" s="552"/>
      <c r="F89" s="552"/>
      <c r="G89" s="552"/>
      <c r="H89" s="552"/>
      <c r="I89" s="552"/>
      <c r="J89" s="552"/>
      <c r="K89" s="552"/>
      <c r="L89" s="552"/>
      <c r="M89" s="1071"/>
      <c r="N89" s="1071"/>
      <c r="O89" s="1071"/>
      <c r="P89" s="1174" t="s">
        <v>2368</v>
      </c>
    </row>
    <row r="90" spans="1:16" ht="21" customHeight="1">
      <c r="A90" s="298"/>
      <c r="B90" s="335" t="s">
        <v>2243</v>
      </c>
      <c r="C90" s="792" t="s">
        <v>2209</v>
      </c>
      <c r="D90" s="552">
        <v>0</v>
      </c>
      <c r="E90" s="552">
        <v>87387464</v>
      </c>
      <c r="F90" s="552">
        <v>87387464</v>
      </c>
      <c r="G90" s="552" t="s">
        <v>47</v>
      </c>
      <c r="H90" s="552">
        <v>87387464</v>
      </c>
      <c r="I90" s="552">
        <v>87387464</v>
      </c>
      <c r="J90" s="552">
        <v>0</v>
      </c>
      <c r="K90" s="552">
        <v>87387464</v>
      </c>
      <c r="L90" s="552">
        <v>87387464</v>
      </c>
      <c r="M90" s="1066">
        <v>0</v>
      </c>
      <c r="N90" s="1067">
        <v>89432464</v>
      </c>
      <c r="O90" s="1067">
        <v>89432464</v>
      </c>
      <c r="P90" s="1175" t="s">
        <v>2213</v>
      </c>
    </row>
    <row r="91" spans="1:16" ht="21" customHeight="1">
      <c r="A91" s="298"/>
      <c r="B91" s="335" t="s">
        <v>2214</v>
      </c>
      <c r="C91" s="792"/>
      <c r="D91" s="552"/>
      <c r="E91" s="552"/>
      <c r="F91" s="552"/>
      <c r="G91" s="552"/>
      <c r="H91" s="552"/>
      <c r="I91" s="552"/>
      <c r="J91" s="552"/>
      <c r="K91" s="552"/>
      <c r="L91" s="552"/>
      <c r="M91" s="1066">
        <v>0</v>
      </c>
      <c r="N91" s="1072">
        <v>144650.07</v>
      </c>
      <c r="O91" s="1072">
        <v>144650.07</v>
      </c>
      <c r="P91" s="1175" t="s">
        <v>2215</v>
      </c>
    </row>
    <row r="92" spans="1:16" ht="21" customHeight="1">
      <c r="A92" s="298"/>
      <c r="B92" s="335" t="s">
        <v>2369</v>
      </c>
      <c r="C92" s="792" t="s">
        <v>2209</v>
      </c>
      <c r="D92" s="552">
        <v>0</v>
      </c>
      <c r="E92" s="552">
        <v>142094.35</v>
      </c>
      <c r="F92" s="552">
        <v>142094.35</v>
      </c>
      <c r="G92" s="552" t="s">
        <v>47</v>
      </c>
      <c r="H92" s="552">
        <v>142094.35</v>
      </c>
      <c r="I92" s="552">
        <v>142094.35</v>
      </c>
      <c r="J92" s="552">
        <v>0</v>
      </c>
      <c r="K92" s="552">
        <v>142094.35</v>
      </c>
      <c r="L92" s="552">
        <v>142094.35</v>
      </c>
      <c r="M92" s="1071"/>
      <c r="N92" s="1071"/>
      <c r="O92" s="1071"/>
      <c r="P92" s="1175" t="s">
        <v>2370</v>
      </c>
    </row>
    <row r="93" spans="1:16" ht="21" customHeight="1">
      <c r="A93" s="298">
        <v>67</v>
      </c>
      <c r="B93" s="335" t="s">
        <v>2371</v>
      </c>
      <c r="C93" s="792"/>
      <c r="D93" s="552"/>
      <c r="E93" s="552"/>
      <c r="F93" s="552"/>
      <c r="G93" s="552"/>
      <c r="H93" s="552"/>
      <c r="I93" s="552"/>
      <c r="J93" s="552"/>
      <c r="K93" s="552"/>
      <c r="L93" s="552"/>
      <c r="P93" s="1174" t="s">
        <v>2372</v>
      </c>
    </row>
    <row r="94" spans="1:16" ht="21" customHeight="1">
      <c r="A94" s="298"/>
      <c r="B94" s="335" t="s">
        <v>2243</v>
      </c>
      <c r="C94" s="792" t="s">
        <v>2209</v>
      </c>
      <c r="D94" s="552">
        <v>6318663</v>
      </c>
      <c r="E94" s="552">
        <v>18529225</v>
      </c>
      <c r="F94" s="552">
        <v>24847888</v>
      </c>
      <c r="G94" s="552">
        <v>410955</v>
      </c>
      <c r="H94" s="552">
        <v>24307933</v>
      </c>
      <c r="I94" s="552">
        <v>24718888</v>
      </c>
      <c r="J94" s="552">
        <v>0</v>
      </c>
      <c r="K94" s="552">
        <v>24633855</v>
      </c>
      <c r="L94" s="552">
        <v>24633855</v>
      </c>
      <c r="M94" s="1066">
        <v>0</v>
      </c>
      <c r="N94" s="1067">
        <v>24633855</v>
      </c>
      <c r="O94" s="1067">
        <v>24633855</v>
      </c>
      <c r="P94" s="1175" t="s">
        <v>2213</v>
      </c>
    </row>
    <row r="95" spans="1:16" ht="21" customHeight="1">
      <c r="A95" s="298"/>
      <c r="B95" s="335" t="s">
        <v>2373</v>
      </c>
      <c r="C95" s="792" t="s">
        <v>2209</v>
      </c>
      <c r="D95" s="552">
        <v>10769.78</v>
      </c>
      <c r="E95" s="552">
        <v>54620.49</v>
      </c>
      <c r="F95" s="552">
        <v>65390.27</v>
      </c>
      <c r="G95" s="552">
        <v>1602.72</v>
      </c>
      <c r="H95" s="552">
        <v>63284.45</v>
      </c>
      <c r="I95" s="552">
        <v>64887.17</v>
      </c>
      <c r="J95" s="552">
        <v>0</v>
      </c>
      <c r="K95" s="552">
        <v>64594.01</v>
      </c>
      <c r="L95" s="552">
        <v>64594.01</v>
      </c>
      <c r="M95" s="1066">
        <v>0</v>
      </c>
      <c r="N95" s="1072">
        <v>64594.01</v>
      </c>
      <c r="O95" s="1072">
        <v>64594.01</v>
      </c>
      <c r="P95" s="1175" t="s">
        <v>2374</v>
      </c>
    </row>
    <row r="96" spans="1:16" ht="21" customHeight="1">
      <c r="A96" s="298">
        <v>68</v>
      </c>
      <c r="B96" s="335" t="s">
        <v>2375</v>
      </c>
      <c r="C96" s="792" t="s">
        <v>2209</v>
      </c>
      <c r="D96" s="552">
        <v>1763630</v>
      </c>
      <c r="E96" s="552">
        <v>674631</v>
      </c>
      <c r="F96" s="552">
        <v>2438261</v>
      </c>
      <c r="G96" s="552">
        <v>1704007</v>
      </c>
      <c r="H96" s="552">
        <v>803003</v>
      </c>
      <c r="I96" s="552">
        <v>2507010</v>
      </c>
      <c r="J96" s="552">
        <v>1632885</v>
      </c>
      <c r="K96" s="552">
        <v>719582</v>
      </c>
      <c r="L96" s="552">
        <v>2352467</v>
      </c>
      <c r="M96" s="1067">
        <v>1590996</v>
      </c>
      <c r="N96" s="1067">
        <v>765227</v>
      </c>
      <c r="O96" s="1067">
        <v>2356223</v>
      </c>
      <c r="P96" s="1174" t="s">
        <v>2376</v>
      </c>
    </row>
    <row r="97" spans="1:16" ht="21" customHeight="1">
      <c r="A97" s="298">
        <v>69</v>
      </c>
      <c r="B97" s="335" t="s">
        <v>2377</v>
      </c>
      <c r="C97" s="792" t="s">
        <v>2209</v>
      </c>
      <c r="D97" s="552">
        <v>8533311</v>
      </c>
      <c r="E97" s="552">
        <v>11708312</v>
      </c>
      <c r="F97" s="552">
        <v>20241623</v>
      </c>
      <c r="G97" s="552">
        <v>2487122</v>
      </c>
      <c r="H97" s="552">
        <v>14082751</v>
      </c>
      <c r="I97" s="552">
        <v>16569873</v>
      </c>
      <c r="J97" s="552">
        <v>2241462</v>
      </c>
      <c r="K97" s="552">
        <v>14227824</v>
      </c>
      <c r="L97" s="552">
        <v>16469286</v>
      </c>
      <c r="M97" s="1067">
        <v>2680978</v>
      </c>
      <c r="N97" s="1067">
        <v>22427488</v>
      </c>
      <c r="O97" s="1067">
        <v>25108466</v>
      </c>
      <c r="P97" s="1174" t="s">
        <v>2378</v>
      </c>
    </row>
    <row r="98" spans="1:16" ht="21" customHeight="1">
      <c r="A98" s="298">
        <v>70</v>
      </c>
      <c r="B98" s="335" t="s">
        <v>2379</v>
      </c>
      <c r="C98" s="792" t="s">
        <v>2209</v>
      </c>
      <c r="D98" s="552">
        <v>3705912</v>
      </c>
      <c r="E98" s="552">
        <v>569748</v>
      </c>
      <c r="F98" s="552">
        <v>4275660</v>
      </c>
      <c r="G98" s="552">
        <v>1347470</v>
      </c>
      <c r="H98" s="552">
        <v>1786482</v>
      </c>
      <c r="I98" s="552">
        <v>3133952</v>
      </c>
      <c r="J98" s="552">
        <v>1158290</v>
      </c>
      <c r="K98" s="552">
        <v>2264913</v>
      </c>
      <c r="L98" s="552">
        <v>3423203</v>
      </c>
      <c r="M98" s="1067">
        <v>669466</v>
      </c>
      <c r="N98" s="1067">
        <v>1674435</v>
      </c>
      <c r="O98" s="1067">
        <v>2343901</v>
      </c>
      <c r="P98" s="1174" t="s">
        <v>2380</v>
      </c>
    </row>
    <row r="99" spans="1:16" s="7" customFormat="1" ht="22.5" customHeight="1">
      <c r="A99" s="196"/>
      <c r="B99" s="18"/>
      <c r="D99" s="1177"/>
      <c r="E99" s="1177"/>
      <c r="F99" s="1177"/>
      <c r="G99" s="1178"/>
      <c r="H99" s="1178"/>
      <c r="I99" s="1178"/>
      <c r="J99" s="1178"/>
      <c r="K99" s="1178"/>
      <c r="L99" s="1178"/>
      <c r="M99" s="1178"/>
      <c r="N99" s="1178"/>
      <c r="O99" s="1178"/>
      <c r="P99" s="1135"/>
    </row>
    <row r="100" spans="1:16" s="7" customFormat="1" ht="22.5" customHeight="1">
      <c r="A100" s="1078" t="s">
        <v>2381</v>
      </c>
      <c r="B100" s="18"/>
      <c r="P100" s="1135"/>
    </row>
    <row r="101" spans="1:16" s="7" customFormat="1" ht="22.5" customHeight="1" thickBot="1">
      <c r="A101" s="1079"/>
      <c r="B101" s="1080" t="s">
        <v>2382</v>
      </c>
      <c r="C101" s="194"/>
      <c r="D101" s="1145"/>
      <c r="E101" s="194"/>
      <c r="F101" s="194"/>
      <c r="G101" s="1145" t="s">
        <v>2383</v>
      </c>
      <c r="H101" s="194"/>
      <c r="I101" s="194"/>
      <c r="J101" s="194"/>
      <c r="K101" s="194"/>
      <c r="L101" s="194"/>
      <c r="M101" s="194"/>
      <c r="N101" s="194"/>
      <c r="O101" s="194"/>
      <c r="P101" s="854"/>
    </row>
    <row r="102" spans="1:16" ht="15.75" thickTop="1"/>
  </sheetData>
  <mergeCells count="10">
    <mergeCell ref="A1:P1"/>
    <mergeCell ref="A2:P2"/>
    <mergeCell ref="A4:A5"/>
    <mergeCell ref="B4:B5"/>
    <mergeCell ref="C4:C5"/>
    <mergeCell ref="D4:F4"/>
    <mergeCell ref="G4:I4"/>
    <mergeCell ref="J4:L4"/>
    <mergeCell ref="M4:O4"/>
    <mergeCell ref="P4:P5"/>
  </mergeCells>
  <conditionalFormatting sqref="R6:XFD98 R1:Z5 Q1:Q19 A6:P8 M10:O11 M14:O14 M16:O16 M20:O24 M26:O26 M28:O28 M31:O31 M34:O34 M36:O41 M43:O43 M45:O48 M50:O56 M58:O58 A9:L70 P9:P70 M61:O63 M65:O68 A71:P76 M78:O81 P77:P98 M83:O84 M86:O92 M94:O98 A77:L98">
    <cfRule type="expression" dxfId="116" priority="2">
      <formula>MOD(ROW(),3=1)</formula>
    </cfRule>
  </conditionalFormatting>
  <conditionalFormatting sqref="R7:XFD98 R1:Z6 Q1:Q19 A7:P8 M10:O11 M14:O14 M16:O16 M20:O24 M26:O26 M28:O28 M31:O31 M34:O34 M36:O41 M43:O43 M45:O48 M50:O56 M58:O58 A9:L70 P9:P70 M61:O63 M65:O68 A71:P76 M78:O81 P77:P98 M83:O84 M86:O92 M94:O98 A77:L98">
    <cfRule type="expression" dxfId="115" priority="1">
      <formula>MOD(ROW(),3)=1</formula>
    </cfRule>
  </conditionalFormatting>
  <printOptions horizontalCentered="1"/>
  <pageMargins left="0.39370078740157483" right="0.31496062992125984" top="0.55118110236220474" bottom="0.51181102362204722" header="0.31496062992125984" footer="0.27559055118110237"/>
  <pageSetup paperSize="9" scale="62" fitToWidth="0" fitToHeight="0" pageOrder="overThenDown"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E61876-9319-40B0-83A3-985239C9DBA8}">
  <sheetPr>
    <pageSetUpPr fitToPage="1"/>
  </sheetPr>
  <dimension ref="A1:AD24"/>
  <sheetViews>
    <sheetView view="pageBreakPreview" zoomScaleSheetLayoutView="100" workbookViewId="0">
      <selection activeCell="S17" sqref="S17"/>
    </sheetView>
  </sheetViews>
  <sheetFormatPr defaultRowHeight="15"/>
  <cols>
    <col min="1" max="1" width="7.7109375" style="491" customWidth="1"/>
    <col min="2" max="2" width="21.42578125" style="1" customWidth="1"/>
    <col min="3" max="3" width="7.5703125" style="48" hidden="1" customWidth="1"/>
    <col min="4" max="6" width="7.5703125" style="1" hidden="1" customWidth="1"/>
    <col min="7" max="19" width="10.7109375" style="1" hidden="1" customWidth="1"/>
    <col min="20" max="20" width="12.7109375" style="1" hidden="1" customWidth="1"/>
    <col min="21" max="27" width="12.7109375" style="1" customWidth="1"/>
    <col min="28" max="28" width="22.7109375" style="491" customWidth="1"/>
    <col min="29" max="234" width="9.140625" style="1"/>
    <col min="235" max="235" width="7.7109375" style="1" customWidth="1"/>
    <col min="236" max="236" width="17.140625" style="1" customWidth="1"/>
    <col min="237" max="253" width="0" style="1" hidden="1" customWidth="1"/>
    <col min="254" max="258" width="12.28515625" style="1" customWidth="1"/>
    <col min="259" max="259" width="18.7109375" style="1" customWidth="1"/>
    <col min="260" max="490" width="9.140625" style="1"/>
    <col min="491" max="491" width="7.7109375" style="1" customWidth="1"/>
    <col min="492" max="492" width="17.140625" style="1" customWidth="1"/>
    <col min="493" max="509" width="0" style="1" hidden="1" customWidth="1"/>
    <col min="510" max="514" width="12.28515625" style="1" customWidth="1"/>
    <col min="515" max="515" width="18.7109375" style="1" customWidth="1"/>
    <col min="516" max="746" width="9.140625" style="1"/>
    <col min="747" max="747" width="7.7109375" style="1" customWidth="1"/>
    <col min="748" max="748" width="17.140625" style="1" customWidth="1"/>
    <col min="749" max="765" width="0" style="1" hidden="1" customWidth="1"/>
    <col min="766" max="770" width="12.28515625" style="1" customWidth="1"/>
    <col min="771" max="771" width="18.7109375" style="1" customWidth="1"/>
    <col min="772" max="1002" width="9.140625" style="1"/>
    <col min="1003" max="1003" width="7.7109375" style="1" customWidth="1"/>
    <col min="1004" max="1004" width="17.140625" style="1" customWidth="1"/>
    <col min="1005" max="1021" width="0" style="1" hidden="1" customWidth="1"/>
    <col min="1022" max="1026" width="12.28515625" style="1" customWidth="1"/>
    <col min="1027" max="1027" width="18.7109375" style="1" customWidth="1"/>
    <col min="1028" max="1258" width="9.140625" style="1"/>
    <col min="1259" max="1259" width="7.7109375" style="1" customWidth="1"/>
    <col min="1260" max="1260" width="17.140625" style="1" customWidth="1"/>
    <col min="1261" max="1277" width="0" style="1" hidden="1" customWidth="1"/>
    <col min="1278" max="1282" width="12.28515625" style="1" customWidth="1"/>
    <col min="1283" max="1283" width="18.7109375" style="1" customWidth="1"/>
    <col min="1284" max="1514" width="9.140625" style="1"/>
    <col min="1515" max="1515" width="7.7109375" style="1" customWidth="1"/>
    <col min="1516" max="1516" width="17.140625" style="1" customWidth="1"/>
    <col min="1517" max="1533" width="0" style="1" hidden="1" customWidth="1"/>
    <col min="1534" max="1538" width="12.28515625" style="1" customWidth="1"/>
    <col min="1539" max="1539" width="18.7109375" style="1" customWidth="1"/>
    <col min="1540" max="1770" width="9.140625" style="1"/>
    <col min="1771" max="1771" width="7.7109375" style="1" customWidth="1"/>
    <col min="1772" max="1772" width="17.140625" style="1" customWidth="1"/>
    <col min="1773" max="1789" width="0" style="1" hidden="1" customWidth="1"/>
    <col min="1790" max="1794" width="12.28515625" style="1" customWidth="1"/>
    <col min="1795" max="1795" width="18.7109375" style="1" customWidth="1"/>
    <col min="1796" max="2026" width="9.140625" style="1"/>
    <col min="2027" max="2027" width="7.7109375" style="1" customWidth="1"/>
    <col min="2028" max="2028" width="17.140625" style="1" customWidth="1"/>
    <col min="2029" max="2045" width="0" style="1" hidden="1" customWidth="1"/>
    <col min="2046" max="2050" width="12.28515625" style="1" customWidth="1"/>
    <col min="2051" max="2051" width="18.7109375" style="1" customWidth="1"/>
    <col min="2052" max="2282" width="9.140625" style="1"/>
    <col min="2283" max="2283" width="7.7109375" style="1" customWidth="1"/>
    <col min="2284" max="2284" width="17.140625" style="1" customWidth="1"/>
    <col min="2285" max="2301" width="0" style="1" hidden="1" customWidth="1"/>
    <col min="2302" max="2306" width="12.28515625" style="1" customWidth="1"/>
    <col min="2307" max="2307" width="18.7109375" style="1" customWidth="1"/>
    <col min="2308" max="2538" width="9.140625" style="1"/>
    <col min="2539" max="2539" width="7.7109375" style="1" customWidth="1"/>
    <col min="2540" max="2540" width="17.140625" style="1" customWidth="1"/>
    <col min="2541" max="2557" width="0" style="1" hidden="1" customWidth="1"/>
    <col min="2558" max="2562" width="12.28515625" style="1" customWidth="1"/>
    <col min="2563" max="2563" width="18.7109375" style="1" customWidth="1"/>
    <col min="2564" max="2794" width="9.140625" style="1"/>
    <col min="2795" max="2795" width="7.7109375" style="1" customWidth="1"/>
    <col min="2796" max="2796" width="17.140625" style="1" customWidth="1"/>
    <col min="2797" max="2813" width="0" style="1" hidden="1" customWidth="1"/>
    <col min="2814" max="2818" width="12.28515625" style="1" customWidth="1"/>
    <col min="2819" max="2819" width="18.7109375" style="1" customWidth="1"/>
    <col min="2820" max="3050" width="9.140625" style="1"/>
    <col min="3051" max="3051" width="7.7109375" style="1" customWidth="1"/>
    <col min="3052" max="3052" width="17.140625" style="1" customWidth="1"/>
    <col min="3053" max="3069" width="0" style="1" hidden="1" customWidth="1"/>
    <col min="3070" max="3074" width="12.28515625" style="1" customWidth="1"/>
    <col min="3075" max="3075" width="18.7109375" style="1" customWidth="1"/>
    <col min="3076" max="3306" width="9.140625" style="1"/>
    <col min="3307" max="3307" width="7.7109375" style="1" customWidth="1"/>
    <col min="3308" max="3308" width="17.140625" style="1" customWidth="1"/>
    <col min="3309" max="3325" width="0" style="1" hidden="1" customWidth="1"/>
    <col min="3326" max="3330" width="12.28515625" style="1" customWidth="1"/>
    <col min="3331" max="3331" width="18.7109375" style="1" customWidth="1"/>
    <col min="3332" max="3562" width="9.140625" style="1"/>
    <col min="3563" max="3563" width="7.7109375" style="1" customWidth="1"/>
    <col min="3564" max="3564" width="17.140625" style="1" customWidth="1"/>
    <col min="3565" max="3581" width="0" style="1" hidden="1" customWidth="1"/>
    <col min="3582" max="3586" width="12.28515625" style="1" customWidth="1"/>
    <col min="3587" max="3587" width="18.7109375" style="1" customWidth="1"/>
    <col min="3588" max="3818" width="9.140625" style="1"/>
    <col min="3819" max="3819" width="7.7109375" style="1" customWidth="1"/>
    <col min="3820" max="3820" width="17.140625" style="1" customWidth="1"/>
    <col min="3821" max="3837" width="0" style="1" hidden="1" customWidth="1"/>
    <col min="3838" max="3842" width="12.28515625" style="1" customWidth="1"/>
    <col min="3843" max="3843" width="18.7109375" style="1" customWidth="1"/>
    <col min="3844" max="4074" width="9.140625" style="1"/>
    <col min="4075" max="4075" width="7.7109375" style="1" customWidth="1"/>
    <col min="4076" max="4076" width="17.140625" style="1" customWidth="1"/>
    <col min="4077" max="4093" width="0" style="1" hidden="1" customWidth="1"/>
    <col min="4094" max="4098" width="12.28515625" style="1" customWidth="1"/>
    <col min="4099" max="4099" width="18.7109375" style="1" customWidth="1"/>
    <col min="4100" max="4330" width="9.140625" style="1"/>
    <col min="4331" max="4331" width="7.7109375" style="1" customWidth="1"/>
    <col min="4332" max="4332" width="17.140625" style="1" customWidth="1"/>
    <col min="4333" max="4349" width="0" style="1" hidden="1" customWidth="1"/>
    <col min="4350" max="4354" width="12.28515625" style="1" customWidth="1"/>
    <col min="4355" max="4355" width="18.7109375" style="1" customWidth="1"/>
    <col min="4356" max="4586" width="9.140625" style="1"/>
    <col min="4587" max="4587" width="7.7109375" style="1" customWidth="1"/>
    <col min="4588" max="4588" width="17.140625" style="1" customWidth="1"/>
    <col min="4589" max="4605" width="0" style="1" hidden="1" customWidth="1"/>
    <col min="4606" max="4610" width="12.28515625" style="1" customWidth="1"/>
    <col min="4611" max="4611" width="18.7109375" style="1" customWidth="1"/>
    <col min="4612" max="4842" width="9.140625" style="1"/>
    <col min="4843" max="4843" width="7.7109375" style="1" customWidth="1"/>
    <col min="4844" max="4844" width="17.140625" style="1" customWidth="1"/>
    <col min="4845" max="4861" width="0" style="1" hidden="1" customWidth="1"/>
    <col min="4862" max="4866" width="12.28515625" style="1" customWidth="1"/>
    <col min="4867" max="4867" width="18.7109375" style="1" customWidth="1"/>
    <col min="4868" max="5098" width="9.140625" style="1"/>
    <col min="5099" max="5099" width="7.7109375" style="1" customWidth="1"/>
    <col min="5100" max="5100" width="17.140625" style="1" customWidth="1"/>
    <col min="5101" max="5117" width="0" style="1" hidden="1" customWidth="1"/>
    <col min="5118" max="5122" width="12.28515625" style="1" customWidth="1"/>
    <col min="5123" max="5123" width="18.7109375" style="1" customWidth="1"/>
    <col min="5124" max="5354" width="9.140625" style="1"/>
    <col min="5355" max="5355" width="7.7109375" style="1" customWidth="1"/>
    <col min="5356" max="5356" width="17.140625" style="1" customWidth="1"/>
    <col min="5357" max="5373" width="0" style="1" hidden="1" customWidth="1"/>
    <col min="5374" max="5378" width="12.28515625" style="1" customWidth="1"/>
    <col min="5379" max="5379" width="18.7109375" style="1" customWidth="1"/>
    <col min="5380" max="5610" width="9.140625" style="1"/>
    <col min="5611" max="5611" width="7.7109375" style="1" customWidth="1"/>
    <col min="5612" max="5612" width="17.140625" style="1" customWidth="1"/>
    <col min="5613" max="5629" width="0" style="1" hidden="1" customWidth="1"/>
    <col min="5630" max="5634" width="12.28515625" style="1" customWidth="1"/>
    <col min="5635" max="5635" width="18.7109375" style="1" customWidth="1"/>
    <col min="5636" max="5866" width="9.140625" style="1"/>
    <col min="5867" max="5867" width="7.7109375" style="1" customWidth="1"/>
    <col min="5868" max="5868" width="17.140625" style="1" customWidth="1"/>
    <col min="5869" max="5885" width="0" style="1" hidden="1" customWidth="1"/>
    <col min="5886" max="5890" width="12.28515625" style="1" customWidth="1"/>
    <col min="5891" max="5891" width="18.7109375" style="1" customWidth="1"/>
    <col min="5892" max="6122" width="9.140625" style="1"/>
    <col min="6123" max="6123" width="7.7109375" style="1" customWidth="1"/>
    <col min="6124" max="6124" width="17.140625" style="1" customWidth="1"/>
    <col min="6125" max="6141" width="0" style="1" hidden="1" customWidth="1"/>
    <col min="6142" max="6146" width="12.28515625" style="1" customWidth="1"/>
    <col min="6147" max="6147" width="18.7109375" style="1" customWidth="1"/>
    <col min="6148" max="6378" width="9.140625" style="1"/>
    <col min="6379" max="6379" width="7.7109375" style="1" customWidth="1"/>
    <col min="6380" max="6380" width="17.140625" style="1" customWidth="1"/>
    <col min="6381" max="6397" width="0" style="1" hidden="1" customWidth="1"/>
    <col min="6398" max="6402" width="12.28515625" style="1" customWidth="1"/>
    <col min="6403" max="6403" width="18.7109375" style="1" customWidth="1"/>
    <col min="6404" max="6634" width="9.140625" style="1"/>
    <col min="6635" max="6635" width="7.7109375" style="1" customWidth="1"/>
    <col min="6636" max="6636" width="17.140625" style="1" customWidth="1"/>
    <col min="6637" max="6653" width="0" style="1" hidden="1" customWidth="1"/>
    <col min="6654" max="6658" width="12.28515625" style="1" customWidth="1"/>
    <col min="6659" max="6659" width="18.7109375" style="1" customWidth="1"/>
    <col min="6660" max="6890" width="9.140625" style="1"/>
    <col min="6891" max="6891" width="7.7109375" style="1" customWidth="1"/>
    <col min="6892" max="6892" width="17.140625" style="1" customWidth="1"/>
    <col min="6893" max="6909" width="0" style="1" hidden="1" customWidth="1"/>
    <col min="6910" max="6914" width="12.28515625" style="1" customWidth="1"/>
    <col min="6915" max="6915" width="18.7109375" style="1" customWidth="1"/>
    <col min="6916" max="7146" width="9.140625" style="1"/>
    <col min="7147" max="7147" width="7.7109375" style="1" customWidth="1"/>
    <col min="7148" max="7148" width="17.140625" style="1" customWidth="1"/>
    <col min="7149" max="7165" width="0" style="1" hidden="1" customWidth="1"/>
    <col min="7166" max="7170" width="12.28515625" style="1" customWidth="1"/>
    <col min="7171" max="7171" width="18.7109375" style="1" customWidth="1"/>
    <col min="7172" max="7402" width="9.140625" style="1"/>
    <col min="7403" max="7403" width="7.7109375" style="1" customWidth="1"/>
    <col min="7404" max="7404" width="17.140625" style="1" customWidth="1"/>
    <col min="7405" max="7421" width="0" style="1" hidden="1" customWidth="1"/>
    <col min="7422" max="7426" width="12.28515625" style="1" customWidth="1"/>
    <col min="7427" max="7427" width="18.7109375" style="1" customWidth="1"/>
    <col min="7428" max="7658" width="9.140625" style="1"/>
    <col min="7659" max="7659" width="7.7109375" style="1" customWidth="1"/>
    <col min="7660" max="7660" width="17.140625" style="1" customWidth="1"/>
    <col min="7661" max="7677" width="0" style="1" hidden="1" customWidth="1"/>
    <col min="7678" max="7682" width="12.28515625" style="1" customWidth="1"/>
    <col min="7683" max="7683" width="18.7109375" style="1" customWidth="1"/>
    <col min="7684" max="7914" width="9.140625" style="1"/>
    <col min="7915" max="7915" width="7.7109375" style="1" customWidth="1"/>
    <col min="7916" max="7916" width="17.140625" style="1" customWidth="1"/>
    <col min="7917" max="7933" width="0" style="1" hidden="1" customWidth="1"/>
    <col min="7934" max="7938" width="12.28515625" style="1" customWidth="1"/>
    <col min="7939" max="7939" width="18.7109375" style="1" customWidth="1"/>
    <col min="7940" max="8170" width="9.140625" style="1"/>
    <col min="8171" max="8171" width="7.7109375" style="1" customWidth="1"/>
    <col min="8172" max="8172" width="17.140625" style="1" customWidth="1"/>
    <col min="8173" max="8189" width="0" style="1" hidden="1" customWidth="1"/>
    <col min="8190" max="8194" width="12.28515625" style="1" customWidth="1"/>
    <col min="8195" max="8195" width="18.7109375" style="1" customWidth="1"/>
    <col min="8196" max="8426" width="9.140625" style="1"/>
    <col min="8427" max="8427" width="7.7109375" style="1" customWidth="1"/>
    <col min="8428" max="8428" width="17.140625" style="1" customWidth="1"/>
    <col min="8429" max="8445" width="0" style="1" hidden="1" customWidth="1"/>
    <col min="8446" max="8450" width="12.28515625" style="1" customWidth="1"/>
    <col min="8451" max="8451" width="18.7109375" style="1" customWidth="1"/>
    <col min="8452" max="8682" width="9.140625" style="1"/>
    <col min="8683" max="8683" width="7.7109375" style="1" customWidth="1"/>
    <col min="8684" max="8684" width="17.140625" style="1" customWidth="1"/>
    <col min="8685" max="8701" width="0" style="1" hidden="1" customWidth="1"/>
    <col min="8702" max="8706" width="12.28515625" style="1" customWidth="1"/>
    <col min="8707" max="8707" width="18.7109375" style="1" customWidth="1"/>
    <col min="8708" max="8938" width="9.140625" style="1"/>
    <col min="8939" max="8939" width="7.7109375" style="1" customWidth="1"/>
    <col min="8940" max="8940" width="17.140625" style="1" customWidth="1"/>
    <col min="8941" max="8957" width="0" style="1" hidden="1" customWidth="1"/>
    <col min="8958" max="8962" width="12.28515625" style="1" customWidth="1"/>
    <col min="8963" max="8963" width="18.7109375" style="1" customWidth="1"/>
    <col min="8964" max="9194" width="9.140625" style="1"/>
    <col min="9195" max="9195" width="7.7109375" style="1" customWidth="1"/>
    <col min="9196" max="9196" width="17.140625" style="1" customWidth="1"/>
    <col min="9197" max="9213" width="0" style="1" hidden="1" customWidth="1"/>
    <col min="9214" max="9218" width="12.28515625" style="1" customWidth="1"/>
    <col min="9219" max="9219" width="18.7109375" style="1" customWidth="1"/>
    <col min="9220" max="9450" width="9.140625" style="1"/>
    <col min="9451" max="9451" width="7.7109375" style="1" customWidth="1"/>
    <col min="9452" max="9452" width="17.140625" style="1" customWidth="1"/>
    <col min="9453" max="9469" width="0" style="1" hidden="1" customWidth="1"/>
    <col min="9470" max="9474" width="12.28515625" style="1" customWidth="1"/>
    <col min="9475" max="9475" width="18.7109375" style="1" customWidth="1"/>
    <col min="9476" max="9706" width="9.140625" style="1"/>
    <col min="9707" max="9707" width="7.7109375" style="1" customWidth="1"/>
    <col min="9708" max="9708" width="17.140625" style="1" customWidth="1"/>
    <col min="9709" max="9725" width="0" style="1" hidden="1" customWidth="1"/>
    <col min="9726" max="9730" width="12.28515625" style="1" customWidth="1"/>
    <col min="9731" max="9731" width="18.7109375" style="1" customWidth="1"/>
    <col min="9732" max="9962" width="9.140625" style="1"/>
    <col min="9963" max="9963" width="7.7109375" style="1" customWidth="1"/>
    <col min="9964" max="9964" width="17.140625" style="1" customWidth="1"/>
    <col min="9965" max="9981" width="0" style="1" hidden="1" customWidth="1"/>
    <col min="9982" max="9986" width="12.28515625" style="1" customWidth="1"/>
    <col min="9987" max="9987" width="18.7109375" style="1" customWidth="1"/>
    <col min="9988" max="10218" width="9.140625" style="1"/>
    <col min="10219" max="10219" width="7.7109375" style="1" customWidth="1"/>
    <col min="10220" max="10220" width="17.140625" style="1" customWidth="1"/>
    <col min="10221" max="10237" width="0" style="1" hidden="1" customWidth="1"/>
    <col min="10238" max="10242" width="12.28515625" style="1" customWidth="1"/>
    <col min="10243" max="10243" width="18.7109375" style="1" customWidth="1"/>
    <col min="10244" max="10474" width="9.140625" style="1"/>
    <col min="10475" max="10475" width="7.7109375" style="1" customWidth="1"/>
    <col min="10476" max="10476" width="17.140625" style="1" customWidth="1"/>
    <col min="10477" max="10493" width="0" style="1" hidden="1" customWidth="1"/>
    <col min="10494" max="10498" width="12.28515625" style="1" customWidth="1"/>
    <col min="10499" max="10499" width="18.7109375" style="1" customWidth="1"/>
    <col min="10500" max="10730" width="9.140625" style="1"/>
    <col min="10731" max="10731" width="7.7109375" style="1" customWidth="1"/>
    <col min="10732" max="10732" width="17.140625" style="1" customWidth="1"/>
    <col min="10733" max="10749" width="0" style="1" hidden="1" customWidth="1"/>
    <col min="10750" max="10754" width="12.28515625" style="1" customWidth="1"/>
    <col min="10755" max="10755" width="18.7109375" style="1" customWidth="1"/>
    <col min="10756" max="10986" width="9.140625" style="1"/>
    <col min="10987" max="10987" width="7.7109375" style="1" customWidth="1"/>
    <col min="10988" max="10988" width="17.140625" style="1" customWidth="1"/>
    <col min="10989" max="11005" width="0" style="1" hidden="1" customWidth="1"/>
    <col min="11006" max="11010" width="12.28515625" style="1" customWidth="1"/>
    <col min="11011" max="11011" width="18.7109375" style="1" customWidth="1"/>
    <col min="11012" max="11242" width="9.140625" style="1"/>
    <col min="11243" max="11243" width="7.7109375" style="1" customWidth="1"/>
    <col min="11244" max="11244" width="17.140625" style="1" customWidth="1"/>
    <col min="11245" max="11261" width="0" style="1" hidden="1" customWidth="1"/>
    <col min="11262" max="11266" width="12.28515625" style="1" customWidth="1"/>
    <col min="11267" max="11267" width="18.7109375" style="1" customWidth="1"/>
    <col min="11268" max="11498" width="9.140625" style="1"/>
    <col min="11499" max="11499" width="7.7109375" style="1" customWidth="1"/>
    <col min="11500" max="11500" width="17.140625" style="1" customWidth="1"/>
    <col min="11501" max="11517" width="0" style="1" hidden="1" customWidth="1"/>
    <col min="11518" max="11522" width="12.28515625" style="1" customWidth="1"/>
    <col min="11523" max="11523" width="18.7109375" style="1" customWidth="1"/>
    <col min="11524" max="11754" width="9.140625" style="1"/>
    <col min="11755" max="11755" width="7.7109375" style="1" customWidth="1"/>
    <col min="11756" max="11756" width="17.140625" style="1" customWidth="1"/>
    <col min="11757" max="11773" width="0" style="1" hidden="1" customWidth="1"/>
    <col min="11774" max="11778" width="12.28515625" style="1" customWidth="1"/>
    <col min="11779" max="11779" width="18.7109375" style="1" customWidth="1"/>
    <col min="11780" max="12010" width="9.140625" style="1"/>
    <col min="12011" max="12011" width="7.7109375" style="1" customWidth="1"/>
    <col min="12012" max="12012" width="17.140625" style="1" customWidth="1"/>
    <col min="12013" max="12029" width="0" style="1" hidden="1" customWidth="1"/>
    <col min="12030" max="12034" width="12.28515625" style="1" customWidth="1"/>
    <col min="12035" max="12035" width="18.7109375" style="1" customWidth="1"/>
    <col min="12036" max="12266" width="9.140625" style="1"/>
    <col min="12267" max="12267" width="7.7109375" style="1" customWidth="1"/>
    <col min="12268" max="12268" width="17.140625" style="1" customWidth="1"/>
    <col min="12269" max="12285" width="0" style="1" hidden="1" customWidth="1"/>
    <col min="12286" max="12290" width="12.28515625" style="1" customWidth="1"/>
    <col min="12291" max="12291" width="18.7109375" style="1" customWidth="1"/>
    <col min="12292" max="12522" width="9.140625" style="1"/>
    <col min="12523" max="12523" width="7.7109375" style="1" customWidth="1"/>
    <col min="12524" max="12524" width="17.140625" style="1" customWidth="1"/>
    <col min="12525" max="12541" width="0" style="1" hidden="1" customWidth="1"/>
    <col min="12542" max="12546" width="12.28515625" style="1" customWidth="1"/>
    <col min="12547" max="12547" width="18.7109375" style="1" customWidth="1"/>
    <col min="12548" max="12778" width="9.140625" style="1"/>
    <col min="12779" max="12779" width="7.7109375" style="1" customWidth="1"/>
    <col min="12780" max="12780" width="17.140625" style="1" customWidth="1"/>
    <col min="12781" max="12797" width="0" style="1" hidden="1" customWidth="1"/>
    <col min="12798" max="12802" width="12.28515625" style="1" customWidth="1"/>
    <col min="12803" max="12803" width="18.7109375" style="1" customWidth="1"/>
    <col min="12804" max="13034" width="9.140625" style="1"/>
    <col min="13035" max="13035" width="7.7109375" style="1" customWidth="1"/>
    <col min="13036" max="13036" width="17.140625" style="1" customWidth="1"/>
    <col min="13037" max="13053" width="0" style="1" hidden="1" customWidth="1"/>
    <col min="13054" max="13058" width="12.28515625" style="1" customWidth="1"/>
    <col min="13059" max="13059" width="18.7109375" style="1" customWidth="1"/>
    <col min="13060" max="13290" width="9.140625" style="1"/>
    <col min="13291" max="13291" width="7.7109375" style="1" customWidth="1"/>
    <col min="13292" max="13292" width="17.140625" style="1" customWidth="1"/>
    <col min="13293" max="13309" width="0" style="1" hidden="1" customWidth="1"/>
    <col min="13310" max="13314" width="12.28515625" style="1" customWidth="1"/>
    <col min="13315" max="13315" width="18.7109375" style="1" customWidth="1"/>
    <col min="13316" max="13546" width="9.140625" style="1"/>
    <col min="13547" max="13547" width="7.7109375" style="1" customWidth="1"/>
    <col min="13548" max="13548" width="17.140625" style="1" customWidth="1"/>
    <col min="13549" max="13565" width="0" style="1" hidden="1" customWidth="1"/>
    <col min="13566" max="13570" width="12.28515625" style="1" customWidth="1"/>
    <col min="13571" max="13571" width="18.7109375" style="1" customWidth="1"/>
    <col min="13572" max="13802" width="9.140625" style="1"/>
    <col min="13803" max="13803" width="7.7109375" style="1" customWidth="1"/>
    <col min="13804" max="13804" width="17.140625" style="1" customWidth="1"/>
    <col min="13805" max="13821" width="0" style="1" hidden="1" customWidth="1"/>
    <col min="13822" max="13826" width="12.28515625" style="1" customWidth="1"/>
    <col min="13827" max="13827" width="18.7109375" style="1" customWidth="1"/>
    <col min="13828" max="14058" width="9.140625" style="1"/>
    <col min="14059" max="14059" width="7.7109375" style="1" customWidth="1"/>
    <col min="14060" max="14060" width="17.140625" style="1" customWidth="1"/>
    <col min="14061" max="14077" width="0" style="1" hidden="1" customWidth="1"/>
    <col min="14078" max="14082" width="12.28515625" style="1" customWidth="1"/>
    <col min="14083" max="14083" width="18.7109375" style="1" customWidth="1"/>
    <col min="14084" max="14314" width="9.140625" style="1"/>
    <col min="14315" max="14315" width="7.7109375" style="1" customWidth="1"/>
    <col min="14316" max="14316" width="17.140625" style="1" customWidth="1"/>
    <col min="14317" max="14333" width="0" style="1" hidden="1" customWidth="1"/>
    <col min="14334" max="14338" width="12.28515625" style="1" customWidth="1"/>
    <col min="14339" max="14339" width="18.7109375" style="1" customWidth="1"/>
    <col min="14340" max="14570" width="9.140625" style="1"/>
    <col min="14571" max="14571" width="7.7109375" style="1" customWidth="1"/>
    <col min="14572" max="14572" width="17.140625" style="1" customWidth="1"/>
    <col min="14573" max="14589" width="0" style="1" hidden="1" customWidth="1"/>
    <col min="14590" max="14594" width="12.28515625" style="1" customWidth="1"/>
    <col min="14595" max="14595" width="18.7109375" style="1" customWidth="1"/>
    <col min="14596" max="14826" width="9.140625" style="1"/>
    <col min="14827" max="14827" width="7.7109375" style="1" customWidth="1"/>
    <col min="14828" max="14828" width="17.140625" style="1" customWidth="1"/>
    <col min="14829" max="14845" width="0" style="1" hidden="1" customWidth="1"/>
    <col min="14846" max="14850" width="12.28515625" style="1" customWidth="1"/>
    <col min="14851" max="14851" width="18.7109375" style="1" customWidth="1"/>
    <col min="14852" max="15082" width="9.140625" style="1"/>
    <col min="15083" max="15083" width="7.7109375" style="1" customWidth="1"/>
    <col min="15084" max="15084" width="17.140625" style="1" customWidth="1"/>
    <col min="15085" max="15101" width="0" style="1" hidden="1" customWidth="1"/>
    <col min="15102" max="15106" width="12.28515625" style="1" customWidth="1"/>
    <col min="15107" max="15107" width="18.7109375" style="1" customWidth="1"/>
    <col min="15108" max="15338" width="9.140625" style="1"/>
    <col min="15339" max="15339" width="7.7109375" style="1" customWidth="1"/>
    <col min="15340" max="15340" width="17.140625" style="1" customWidth="1"/>
    <col min="15341" max="15357" width="0" style="1" hidden="1" customWidth="1"/>
    <col min="15358" max="15362" width="12.28515625" style="1" customWidth="1"/>
    <col min="15363" max="15363" width="18.7109375" style="1" customWidth="1"/>
    <col min="15364" max="15594" width="9.140625" style="1"/>
    <col min="15595" max="15595" width="7.7109375" style="1" customWidth="1"/>
    <col min="15596" max="15596" width="17.140625" style="1" customWidth="1"/>
    <col min="15597" max="15613" width="0" style="1" hidden="1" customWidth="1"/>
    <col min="15614" max="15618" width="12.28515625" style="1" customWidth="1"/>
    <col min="15619" max="15619" width="18.7109375" style="1" customWidth="1"/>
    <col min="15620" max="15850" width="9.140625" style="1"/>
    <col min="15851" max="15851" width="7.7109375" style="1" customWidth="1"/>
    <col min="15852" max="15852" width="17.140625" style="1" customWidth="1"/>
    <col min="15853" max="15869" width="0" style="1" hidden="1" customWidth="1"/>
    <col min="15870" max="15874" width="12.28515625" style="1" customWidth="1"/>
    <col min="15875" max="15875" width="18.7109375" style="1" customWidth="1"/>
    <col min="15876" max="16106" width="9.140625" style="1"/>
    <col min="16107" max="16107" width="7.7109375" style="1" customWidth="1"/>
    <col min="16108" max="16108" width="17.140625" style="1" customWidth="1"/>
    <col min="16109" max="16125" width="0" style="1" hidden="1" customWidth="1"/>
    <col min="16126" max="16130" width="12.28515625" style="1" customWidth="1"/>
    <col min="16131" max="16131" width="18.7109375" style="1" customWidth="1"/>
    <col min="16132" max="16384" width="9.140625" style="1"/>
  </cols>
  <sheetData>
    <row r="1" spans="1:30" s="7" customFormat="1" ht="37.5" customHeight="1" thickTop="1">
      <c r="A1" s="1868" t="s">
        <v>2587</v>
      </c>
      <c r="B1" s="1869"/>
      <c r="C1" s="1869"/>
      <c r="D1" s="1869"/>
      <c r="E1" s="1869"/>
      <c r="F1" s="1869"/>
      <c r="G1" s="1869"/>
      <c r="H1" s="1869"/>
      <c r="I1" s="1869"/>
      <c r="J1" s="1869"/>
      <c r="K1" s="1869"/>
      <c r="L1" s="1869"/>
      <c r="M1" s="1869"/>
      <c r="N1" s="1869"/>
      <c r="O1" s="1869"/>
      <c r="P1" s="1869"/>
      <c r="Q1" s="1869"/>
      <c r="R1" s="1869"/>
      <c r="S1" s="1869"/>
      <c r="T1" s="1869"/>
      <c r="U1" s="1869"/>
      <c r="V1" s="1869"/>
      <c r="W1" s="1869"/>
      <c r="X1" s="1869"/>
      <c r="Y1" s="1869"/>
      <c r="Z1" s="1869"/>
      <c r="AA1" s="1869"/>
      <c r="AB1" s="1870"/>
    </row>
    <row r="2" spans="1:30" s="7" customFormat="1" ht="17.25" customHeight="1">
      <c r="A2" s="196"/>
      <c r="C2" s="1177"/>
      <c r="X2" s="7" t="s">
        <v>937</v>
      </c>
      <c r="AB2" s="493"/>
      <c r="AD2" s="75"/>
    </row>
    <row r="3" spans="1:30" s="496" customFormat="1" ht="17.25" customHeight="1">
      <c r="A3" s="1216" t="s">
        <v>686</v>
      </c>
      <c r="B3" s="80" t="s">
        <v>936</v>
      </c>
      <c r="C3" s="1126" t="s">
        <v>935</v>
      </c>
      <c r="D3" s="80" t="s">
        <v>934</v>
      </c>
      <c r="E3" s="80" t="s">
        <v>933</v>
      </c>
      <c r="F3" s="80" t="s">
        <v>932</v>
      </c>
      <c r="G3" s="80" t="s">
        <v>931</v>
      </c>
      <c r="H3" s="80" t="s">
        <v>930</v>
      </c>
      <c r="I3" s="80" t="s">
        <v>487</v>
      </c>
      <c r="J3" s="80" t="s">
        <v>486</v>
      </c>
      <c r="K3" s="80" t="s">
        <v>485</v>
      </c>
      <c r="L3" s="80" t="s">
        <v>484</v>
      </c>
      <c r="M3" s="80" t="s">
        <v>483</v>
      </c>
      <c r="N3" s="80" t="s">
        <v>929</v>
      </c>
      <c r="O3" s="80" t="s">
        <v>928</v>
      </c>
      <c r="P3" s="80" t="s">
        <v>927</v>
      </c>
      <c r="Q3" s="80" t="s">
        <v>2</v>
      </c>
      <c r="R3" s="80" t="s">
        <v>926</v>
      </c>
      <c r="S3" s="80" t="s">
        <v>13</v>
      </c>
      <c r="T3" s="80" t="s">
        <v>41</v>
      </c>
      <c r="U3" s="80" t="s">
        <v>42</v>
      </c>
      <c r="V3" s="80" t="s">
        <v>129</v>
      </c>
      <c r="W3" s="80" t="s">
        <v>142</v>
      </c>
      <c r="X3" s="80" t="s">
        <v>276</v>
      </c>
      <c r="Y3" s="80" t="s">
        <v>522</v>
      </c>
      <c r="Z3" s="80" t="s">
        <v>652</v>
      </c>
      <c r="AA3" s="1125" t="s">
        <v>803</v>
      </c>
      <c r="AB3" s="1156" t="s">
        <v>108</v>
      </c>
    </row>
    <row r="4" spans="1:30" s="7" customFormat="1" ht="17.25" customHeight="1">
      <c r="A4" s="1217" t="s">
        <v>925</v>
      </c>
      <c r="B4" s="1215" t="s">
        <v>887</v>
      </c>
      <c r="C4" s="231">
        <v>296.7</v>
      </c>
      <c r="D4" s="5">
        <v>296.53700000000003</v>
      </c>
      <c r="E4" s="5">
        <v>304.10000000000002</v>
      </c>
      <c r="F4" s="5">
        <v>313.7</v>
      </c>
      <c r="G4" s="495">
        <v>327.75200000000001</v>
      </c>
      <c r="H4" s="495">
        <v>341.24700000000001</v>
      </c>
      <c r="I4" s="495">
        <v>361.2</v>
      </c>
      <c r="J4" s="495">
        <v>382.61500000000001</v>
      </c>
      <c r="K4" s="495">
        <v>407</v>
      </c>
      <c r="L4" s="495">
        <v>430.8</v>
      </c>
      <c r="M4" s="495">
        <v>457</v>
      </c>
      <c r="N4" s="495">
        <v>492.8</v>
      </c>
      <c r="O4" s="495">
        <v>532.05999999999995</v>
      </c>
      <c r="P4" s="495">
        <v>532.69399999999996</v>
      </c>
      <c r="Q4" s="495">
        <v>539.95000000000005</v>
      </c>
      <c r="R4" s="495">
        <v>556.40200000000004</v>
      </c>
      <c r="S4" s="495">
        <v>508.947</v>
      </c>
      <c r="T4" s="495">
        <v>609.17899999999997</v>
      </c>
      <c r="U4" s="495">
        <v>639.2299999999999</v>
      </c>
      <c r="V4" s="495">
        <v>657.86800000000005</v>
      </c>
      <c r="W4" s="495">
        <v>675.4</v>
      </c>
      <c r="X4" s="495">
        <v>728.71799999999985</v>
      </c>
      <c r="Y4" s="495">
        <v>730.87300000000005</v>
      </c>
      <c r="Z4" s="495">
        <v>716.08399999999995</v>
      </c>
      <c r="AA4" s="495">
        <v>778.19</v>
      </c>
      <c r="AB4" s="1212" t="s">
        <v>886</v>
      </c>
    </row>
    <row r="5" spans="1:30" s="7" customFormat="1" ht="17.25" customHeight="1">
      <c r="A5" s="1218">
        <v>1</v>
      </c>
      <c r="B5" s="24" t="s">
        <v>680</v>
      </c>
      <c r="C5" s="231">
        <v>28.940999999999999</v>
      </c>
      <c r="D5" s="5">
        <v>27.326000000000001</v>
      </c>
      <c r="E5" s="5">
        <v>29.556000000000001</v>
      </c>
      <c r="F5" s="5">
        <v>30.274000000000001</v>
      </c>
      <c r="G5" s="494">
        <v>30.811</v>
      </c>
      <c r="H5" s="494">
        <v>33.235999999999997</v>
      </c>
      <c r="I5" s="494">
        <v>33.9</v>
      </c>
      <c r="J5" s="494">
        <v>35.299999999999997</v>
      </c>
      <c r="K5" s="494">
        <v>36.130000000000003</v>
      </c>
      <c r="L5" s="494">
        <v>37.700000000000003</v>
      </c>
      <c r="M5" s="494">
        <v>40.6</v>
      </c>
      <c r="N5" s="494">
        <v>44.5</v>
      </c>
      <c r="O5" s="494">
        <v>50.4</v>
      </c>
      <c r="P5" s="494">
        <v>51.332999999999998</v>
      </c>
      <c r="Q5" s="494">
        <v>52.21</v>
      </c>
      <c r="R5" s="494">
        <v>53.19</v>
      </c>
      <c r="S5" s="494">
        <v>0</v>
      </c>
      <c r="T5" s="494">
        <v>0</v>
      </c>
      <c r="U5" s="494">
        <v>0</v>
      </c>
      <c r="V5" s="494">
        <v>0</v>
      </c>
      <c r="W5" s="494">
        <v>0</v>
      </c>
      <c r="X5" s="494">
        <v>0</v>
      </c>
      <c r="Y5" s="494">
        <v>0</v>
      </c>
      <c r="Z5" s="494">
        <v>0</v>
      </c>
      <c r="AA5" s="494">
        <v>0</v>
      </c>
      <c r="AB5" s="630" t="s">
        <v>14</v>
      </c>
    </row>
    <row r="6" spans="1:30" s="7" customFormat="1" ht="17.25" customHeight="1">
      <c r="A6" s="1218">
        <v>2</v>
      </c>
      <c r="B6" s="24" t="s">
        <v>912</v>
      </c>
      <c r="C6" s="231" t="s">
        <v>923</v>
      </c>
      <c r="D6" s="5" t="s">
        <v>923</v>
      </c>
      <c r="E6" s="5" t="s">
        <v>923</v>
      </c>
      <c r="F6" s="5" t="s">
        <v>923</v>
      </c>
      <c r="G6" s="494" t="s">
        <v>923</v>
      </c>
      <c r="H6" s="494" t="s">
        <v>923</v>
      </c>
      <c r="I6" s="494" t="s">
        <v>923</v>
      </c>
      <c r="J6" s="494" t="s">
        <v>923</v>
      </c>
      <c r="K6" s="494" t="s">
        <v>923</v>
      </c>
      <c r="L6" s="494" t="s">
        <v>923</v>
      </c>
      <c r="M6" s="494" t="s">
        <v>923</v>
      </c>
      <c r="N6" s="494">
        <v>0.14199999999999999</v>
      </c>
      <c r="O6" s="494">
        <v>0.2</v>
      </c>
      <c r="P6" s="494">
        <v>0.29899999999999999</v>
      </c>
      <c r="Q6" s="494">
        <v>0.2</v>
      </c>
      <c r="R6" s="494">
        <v>7.2999999999999995E-2</v>
      </c>
      <c r="S6" s="494">
        <v>0</v>
      </c>
      <c r="T6" s="494">
        <v>0</v>
      </c>
      <c r="U6" s="494">
        <v>0</v>
      </c>
      <c r="V6" s="494">
        <v>0</v>
      </c>
      <c r="W6" s="494">
        <v>0</v>
      </c>
      <c r="X6" s="494">
        <v>0</v>
      </c>
      <c r="Y6" s="494">
        <v>0</v>
      </c>
      <c r="Z6" s="494">
        <v>0</v>
      </c>
      <c r="AA6" s="494">
        <v>0</v>
      </c>
      <c r="AB6" s="630" t="s">
        <v>15</v>
      </c>
    </row>
    <row r="7" spans="1:30" s="7" customFormat="1" ht="17.25" customHeight="1">
      <c r="A7" s="1218">
        <v>3</v>
      </c>
      <c r="B7" s="24" t="s">
        <v>215</v>
      </c>
      <c r="C7" s="231">
        <v>0.68700000000000006</v>
      </c>
      <c r="D7" s="5">
        <v>0.63700000000000001</v>
      </c>
      <c r="E7" s="5">
        <v>0.57199999999999995</v>
      </c>
      <c r="F7" s="5">
        <v>0.66</v>
      </c>
      <c r="G7" s="494">
        <v>0.64</v>
      </c>
      <c r="H7" s="494">
        <v>0.63300000000000001</v>
      </c>
      <c r="I7" s="494">
        <v>0.7</v>
      </c>
      <c r="J7" s="494">
        <v>0.63</v>
      </c>
      <c r="K7" s="494">
        <v>1.1000000000000001</v>
      </c>
      <c r="L7" s="494">
        <v>1.1000000000000001</v>
      </c>
      <c r="M7" s="494">
        <v>1.1000000000000001</v>
      </c>
      <c r="N7" s="494">
        <v>1.2</v>
      </c>
      <c r="O7" s="494">
        <v>1.113</v>
      </c>
      <c r="P7" s="494">
        <v>1.101</v>
      </c>
      <c r="Q7" s="494">
        <v>0.60199999999999998</v>
      </c>
      <c r="R7" s="494">
        <v>0.60499999999999998</v>
      </c>
      <c r="S7" s="494">
        <v>0.66400000000000003</v>
      </c>
      <c r="T7" s="494">
        <v>0.77900000000000003</v>
      </c>
      <c r="U7" s="494">
        <v>0.48699999999999999</v>
      </c>
      <c r="V7" s="494">
        <v>0.6</v>
      </c>
      <c r="W7" s="494">
        <v>0.78100000000000003</v>
      </c>
      <c r="X7" s="494">
        <v>0.78400000000000003</v>
      </c>
      <c r="Y7" s="494">
        <v>0.51700000000000002</v>
      </c>
      <c r="Z7" s="36">
        <v>3.5999999999999997E-2</v>
      </c>
      <c r="AA7" s="36">
        <v>2.8000000000000001E-2</v>
      </c>
      <c r="AB7" s="630" t="s">
        <v>21</v>
      </c>
    </row>
    <row r="8" spans="1:30" s="7" customFormat="1" ht="17.25" customHeight="1">
      <c r="A8" s="1218">
        <v>4</v>
      </c>
      <c r="B8" s="24" t="s">
        <v>924</v>
      </c>
      <c r="C8" s="231" t="s">
        <v>923</v>
      </c>
      <c r="D8" s="5" t="s">
        <v>923</v>
      </c>
      <c r="E8" s="5" t="s">
        <v>923</v>
      </c>
      <c r="F8" s="5">
        <v>50.2</v>
      </c>
      <c r="G8" s="494">
        <v>53.621000000000002</v>
      </c>
      <c r="H8" s="494">
        <v>56.758000000000003</v>
      </c>
      <c r="I8" s="494">
        <v>61.51</v>
      </c>
      <c r="J8" s="494">
        <v>69.25</v>
      </c>
      <c r="K8" s="494">
        <v>76.349999999999994</v>
      </c>
      <c r="L8" s="494">
        <v>83</v>
      </c>
      <c r="M8" s="494">
        <v>90.2</v>
      </c>
      <c r="N8" s="494">
        <v>101.9</v>
      </c>
      <c r="O8" s="494">
        <v>109.959</v>
      </c>
      <c r="P8" s="494">
        <v>113.824</v>
      </c>
      <c r="Q8" s="494">
        <v>113.96</v>
      </c>
      <c r="R8" s="494">
        <v>117.83</v>
      </c>
      <c r="S8" s="494">
        <v>126.97</v>
      </c>
      <c r="T8" s="494">
        <v>134.76400000000001</v>
      </c>
      <c r="U8" s="494">
        <v>130.60499999999999</v>
      </c>
      <c r="V8" s="494">
        <v>138.52500000000003</v>
      </c>
      <c r="W8" s="494">
        <v>142.54599999999999</v>
      </c>
      <c r="X8" s="494">
        <v>161.893</v>
      </c>
      <c r="Y8" s="494">
        <f>0.25+157.495</f>
        <v>157.745</v>
      </c>
      <c r="Z8" s="494">
        <f>0.219+158.19</f>
        <v>158.40899999999999</v>
      </c>
      <c r="AA8" s="494">
        <v>154.12</v>
      </c>
      <c r="AB8" s="630" t="s">
        <v>23</v>
      </c>
    </row>
    <row r="9" spans="1:30" s="7" customFormat="1" ht="17.25" customHeight="1">
      <c r="A9" s="1218">
        <v>5</v>
      </c>
      <c r="B9" s="24" t="s">
        <v>910</v>
      </c>
      <c r="C9" s="231"/>
      <c r="D9" s="5"/>
      <c r="E9" s="5"/>
      <c r="F9" s="5"/>
      <c r="G9" s="494"/>
      <c r="H9" s="494"/>
      <c r="I9" s="494"/>
      <c r="J9" s="494"/>
      <c r="K9" s="494"/>
      <c r="L9" s="494"/>
      <c r="M9" s="494"/>
      <c r="N9" s="494"/>
      <c r="O9" s="494"/>
      <c r="P9" s="494"/>
      <c r="Q9" s="494"/>
      <c r="R9" s="494">
        <v>1.9E-2</v>
      </c>
      <c r="S9" s="494">
        <v>1.9E-2</v>
      </c>
      <c r="T9" s="494">
        <v>1.2999999999999999E-2</v>
      </c>
      <c r="U9" s="494">
        <v>1.2999999999999999E-2</v>
      </c>
      <c r="V9" s="494">
        <v>0.01</v>
      </c>
      <c r="W9" s="494">
        <v>1.4E-2</v>
      </c>
      <c r="X9" s="494">
        <v>1.2999999999999999E-2</v>
      </c>
      <c r="Y9" s="494">
        <v>1.4E-2</v>
      </c>
      <c r="Z9" s="36">
        <v>1.2E-2</v>
      </c>
      <c r="AA9" s="36">
        <v>1.0999999999999999E-2</v>
      </c>
      <c r="AB9" s="630" t="s">
        <v>632</v>
      </c>
    </row>
    <row r="10" spans="1:30" s="7" customFormat="1" ht="17.25" customHeight="1">
      <c r="A10" s="1218">
        <v>6</v>
      </c>
      <c r="B10" s="24" t="s">
        <v>922</v>
      </c>
      <c r="C10" s="231">
        <v>81</v>
      </c>
      <c r="D10" s="5">
        <v>76.2</v>
      </c>
      <c r="E10" s="5">
        <v>76.5</v>
      </c>
      <c r="F10" s="5">
        <v>75.400000000000006</v>
      </c>
      <c r="G10" s="494">
        <v>76.813000000000002</v>
      </c>
      <c r="H10" s="494">
        <v>78.628</v>
      </c>
      <c r="I10" s="494">
        <v>79.5</v>
      </c>
      <c r="J10" s="494">
        <v>78</v>
      </c>
      <c r="K10" s="494">
        <v>85.38</v>
      </c>
      <c r="L10" s="494">
        <v>88.8</v>
      </c>
      <c r="M10" s="494">
        <v>90.9</v>
      </c>
      <c r="N10" s="494">
        <v>96.3</v>
      </c>
      <c r="O10" s="494">
        <v>105.93300000000001</v>
      </c>
      <c r="P10" s="494">
        <v>108.949</v>
      </c>
      <c r="Q10" s="494">
        <v>109.566</v>
      </c>
      <c r="R10" s="494">
        <v>111.274</v>
      </c>
      <c r="S10" s="494">
        <v>58.003</v>
      </c>
      <c r="T10" s="494">
        <v>124.143</v>
      </c>
      <c r="U10" s="494">
        <v>62.518999999999998</v>
      </c>
      <c r="V10" s="494">
        <v>66.831000000000003</v>
      </c>
      <c r="W10" s="494">
        <v>84.528999999999996</v>
      </c>
      <c r="X10" s="494">
        <v>95.025000000000006</v>
      </c>
      <c r="Y10" s="494">
        <f>52.364+79.399</f>
        <v>131.76300000000001</v>
      </c>
      <c r="Z10" s="494">
        <f>44.387+74.909</f>
        <v>119.29600000000001</v>
      </c>
      <c r="AA10" s="494">
        <v>130.10400000000001</v>
      </c>
      <c r="AB10" s="630" t="s">
        <v>27</v>
      </c>
    </row>
    <row r="11" spans="1:30" s="7" customFormat="1" ht="17.25" customHeight="1">
      <c r="A11" s="1218">
        <v>7</v>
      </c>
      <c r="B11" s="24" t="s">
        <v>921</v>
      </c>
      <c r="C11" s="231">
        <v>84.4</v>
      </c>
      <c r="D11" s="5">
        <v>84.936999999999998</v>
      </c>
      <c r="E11" s="5">
        <v>87.900999999999996</v>
      </c>
      <c r="F11" s="5">
        <v>42.5</v>
      </c>
      <c r="G11" s="494">
        <v>44.155999999999999</v>
      </c>
      <c r="H11" s="494">
        <v>45.735999999999997</v>
      </c>
      <c r="I11" s="494">
        <v>49.8</v>
      </c>
      <c r="J11" s="494">
        <v>52.5</v>
      </c>
      <c r="K11" s="494">
        <v>55.58</v>
      </c>
      <c r="L11" s="494">
        <v>60</v>
      </c>
      <c r="M11" s="494">
        <v>67.8</v>
      </c>
      <c r="N11" s="494">
        <v>71.3</v>
      </c>
      <c r="O11" s="494">
        <v>74.069999999999993</v>
      </c>
      <c r="P11" s="494">
        <v>71.103999999999999</v>
      </c>
      <c r="Q11" s="494">
        <v>71.12</v>
      </c>
      <c r="R11" s="494">
        <v>75.947999999999993</v>
      </c>
      <c r="S11" s="494">
        <v>75.340999999999994</v>
      </c>
      <c r="T11" s="494">
        <v>87.609000000000009</v>
      </c>
      <c r="U11" s="494">
        <v>107.505</v>
      </c>
      <c r="V11" s="494">
        <v>104.88200000000001</v>
      </c>
      <c r="W11" s="494">
        <v>111.947</v>
      </c>
      <c r="X11" s="494">
        <v>118.473</v>
      </c>
      <c r="Y11" s="494">
        <f>125.548+0.178</f>
        <v>125.726</v>
      </c>
      <c r="Z11" s="494">
        <f>132.35+0.181</f>
        <v>132.53100000000001</v>
      </c>
      <c r="AA11" s="494">
        <v>137.79499999999999</v>
      </c>
      <c r="AB11" s="630" t="s">
        <v>18</v>
      </c>
    </row>
    <row r="12" spans="1:30" s="7" customFormat="1" ht="17.25" customHeight="1">
      <c r="A12" s="1218">
        <v>8</v>
      </c>
      <c r="B12" s="24" t="s">
        <v>138</v>
      </c>
      <c r="C12" s="231">
        <v>26.2</v>
      </c>
      <c r="D12" s="5">
        <v>25.279</v>
      </c>
      <c r="E12" s="5">
        <v>27.698</v>
      </c>
      <c r="F12" s="5">
        <v>28.754000000000001</v>
      </c>
      <c r="G12" s="494">
        <v>30.83</v>
      </c>
      <c r="H12" s="494">
        <v>31.359000000000002</v>
      </c>
      <c r="I12" s="494">
        <v>32.9</v>
      </c>
      <c r="J12" s="494">
        <v>34.5</v>
      </c>
      <c r="K12" s="494">
        <v>36.119</v>
      </c>
      <c r="L12" s="494">
        <v>36.200000000000003</v>
      </c>
      <c r="M12" s="494">
        <v>36.4</v>
      </c>
      <c r="N12" s="494">
        <v>38.700000000000003</v>
      </c>
      <c r="O12" s="494">
        <v>41</v>
      </c>
      <c r="P12" s="494">
        <v>39.335999999999999</v>
      </c>
      <c r="Q12" s="494">
        <v>39.158999999999999</v>
      </c>
      <c r="R12" s="494">
        <v>39.134</v>
      </c>
      <c r="S12" s="494">
        <v>37.222999999999999</v>
      </c>
      <c r="T12" s="494">
        <v>38.256999999999998</v>
      </c>
      <c r="U12" s="494">
        <v>38.350999999999999</v>
      </c>
      <c r="V12" s="494">
        <v>40.558999999999997</v>
      </c>
      <c r="W12" s="494">
        <v>42.219000000000001</v>
      </c>
      <c r="X12" s="494">
        <v>49.817999999999998</v>
      </c>
      <c r="Y12" s="494">
        <v>54.746000000000002</v>
      </c>
      <c r="Z12" s="494">
        <v>47.435000000000002</v>
      </c>
      <c r="AA12" s="494">
        <v>56.529000000000003</v>
      </c>
      <c r="AB12" s="630" t="s">
        <v>29</v>
      </c>
    </row>
    <row r="13" spans="1:30" s="7" customFormat="1" ht="17.25" customHeight="1">
      <c r="A13" s="1218">
        <v>9</v>
      </c>
      <c r="B13" s="24" t="s">
        <v>908</v>
      </c>
      <c r="C13" s="231" t="s">
        <v>47</v>
      </c>
      <c r="D13" s="5">
        <v>4.2380000000000004</v>
      </c>
      <c r="E13" s="5">
        <v>4.0599999999999996</v>
      </c>
      <c r="F13" s="5">
        <v>4.0650000000000004</v>
      </c>
      <c r="G13" s="494">
        <v>5.149</v>
      </c>
      <c r="H13" s="494">
        <v>4.4059999999999997</v>
      </c>
      <c r="I13" s="494">
        <v>5.4</v>
      </c>
      <c r="J13" s="494">
        <v>5.3</v>
      </c>
      <c r="K13" s="494">
        <v>5.5659999999999998</v>
      </c>
      <c r="L13" s="494">
        <v>5.8</v>
      </c>
      <c r="M13" s="494">
        <v>6.5</v>
      </c>
      <c r="N13" s="494">
        <v>5.7</v>
      </c>
      <c r="O13" s="494">
        <v>5.7670000000000003</v>
      </c>
      <c r="P13" s="494">
        <v>6.9740000000000002</v>
      </c>
      <c r="Q13" s="494">
        <v>7.2</v>
      </c>
      <c r="R13" s="494">
        <v>5.64</v>
      </c>
      <c r="S13" s="494">
        <v>5.7320000000000002</v>
      </c>
      <c r="T13" s="494">
        <v>2.524</v>
      </c>
      <c r="U13" s="494">
        <v>3.7120000000000002</v>
      </c>
      <c r="V13" s="494">
        <v>2.3079999999999998</v>
      </c>
      <c r="W13" s="494">
        <v>1.5289999999999999</v>
      </c>
      <c r="X13" s="494">
        <v>0</v>
      </c>
      <c r="Y13" s="494">
        <v>0</v>
      </c>
      <c r="Z13" s="494">
        <v>0</v>
      </c>
      <c r="AA13" s="494">
        <v>0</v>
      </c>
      <c r="AB13" s="630" t="s">
        <v>8</v>
      </c>
    </row>
    <row r="14" spans="1:30" s="7" customFormat="1" ht="17.25" customHeight="1">
      <c r="A14" s="1218">
        <v>10</v>
      </c>
      <c r="B14" s="24" t="s">
        <v>856</v>
      </c>
      <c r="C14" s="231">
        <v>42</v>
      </c>
      <c r="D14" s="5">
        <v>43.512</v>
      </c>
      <c r="E14" s="5">
        <v>43.554000000000002</v>
      </c>
      <c r="F14" s="5">
        <v>44.802999999999997</v>
      </c>
      <c r="G14" s="494">
        <v>47.805</v>
      </c>
      <c r="H14" s="494">
        <v>52.228999999999999</v>
      </c>
      <c r="I14" s="494">
        <v>60.1</v>
      </c>
      <c r="J14" s="494">
        <v>66.599999999999994</v>
      </c>
      <c r="K14" s="494">
        <v>70.540000000000006</v>
      </c>
      <c r="L14" s="494">
        <v>81.2</v>
      </c>
      <c r="M14" s="494">
        <v>89.5</v>
      </c>
      <c r="N14" s="494">
        <v>98.4</v>
      </c>
      <c r="O14" s="494">
        <v>106.41</v>
      </c>
      <c r="P14" s="494">
        <v>102.565</v>
      </c>
      <c r="Q14" s="494">
        <v>105.476</v>
      </c>
      <c r="R14" s="494">
        <v>110.13200000000001</v>
      </c>
      <c r="S14" s="494">
        <v>112.917</v>
      </c>
      <c r="T14" s="494">
        <v>123.627</v>
      </c>
      <c r="U14" s="494">
        <v>138.46100000000001</v>
      </c>
      <c r="V14" s="494">
        <v>139.35900000000001</v>
      </c>
      <c r="W14" s="494">
        <v>143.328</v>
      </c>
      <c r="X14" s="494">
        <v>144.31200000000001</v>
      </c>
      <c r="Y14" s="494">
        <v>143.01599999999999</v>
      </c>
      <c r="Z14" s="494">
        <v>154.15</v>
      </c>
      <c r="AA14" s="494">
        <v>185.06899999999999</v>
      </c>
      <c r="AB14" s="630" t="s">
        <v>9</v>
      </c>
    </row>
    <row r="15" spans="1:30" s="7" customFormat="1" ht="17.25" customHeight="1">
      <c r="A15" s="1218">
        <v>11</v>
      </c>
      <c r="B15" s="24" t="s">
        <v>218</v>
      </c>
      <c r="C15" s="231"/>
      <c r="D15" s="5"/>
      <c r="E15" s="5"/>
      <c r="F15" s="5"/>
      <c r="G15" s="494"/>
      <c r="H15" s="494"/>
      <c r="I15" s="494"/>
      <c r="J15" s="494"/>
      <c r="K15" s="494"/>
      <c r="L15" s="494"/>
      <c r="M15" s="494"/>
      <c r="N15" s="494"/>
      <c r="O15" s="494"/>
      <c r="P15" s="494"/>
      <c r="Q15" s="494"/>
      <c r="R15" s="494"/>
      <c r="S15" s="494">
        <v>50.469000000000001</v>
      </c>
      <c r="T15" s="494">
        <v>52.536000000000001</v>
      </c>
      <c r="U15" s="494">
        <v>60.38</v>
      </c>
      <c r="V15" s="494">
        <v>61.335999999999999</v>
      </c>
      <c r="W15" s="494">
        <v>62.01</v>
      </c>
      <c r="X15" s="494">
        <v>65.16</v>
      </c>
      <c r="Y15" s="494">
        <v>65.703000000000003</v>
      </c>
      <c r="Z15" s="494">
        <v>52.603000000000002</v>
      </c>
      <c r="AA15" s="494">
        <v>67.233000000000004</v>
      </c>
      <c r="AB15" s="630" t="s">
        <v>39</v>
      </c>
    </row>
    <row r="16" spans="1:30" s="7" customFormat="1" ht="17.25" customHeight="1">
      <c r="A16" s="1218">
        <v>12</v>
      </c>
      <c r="B16" s="24" t="s">
        <v>907</v>
      </c>
      <c r="C16" s="231">
        <v>15.7</v>
      </c>
      <c r="D16" s="5">
        <v>15.646000000000001</v>
      </c>
      <c r="E16" s="5">
        <v>16.22</v>
      </c>
      <c r="F16" s="5">
        <v>16.863</v>
      </c>
      <c r="G16" s="494">
        <v>16.533000000000001</v>
      </c>
      <c r="H16" s="494">
        <v>17.783000000000001</v>
      </c>
      <c r="I16" s="494">
        <v>15.8</v>
      </c>
      <c r="J16" s="494">
        <v>16.8</v>
      </c>
      <c r="K16" s="494">
        <v>15.721</v>
      </c>
      <c r="L16" s="494">
        <v>12.2</v>
      </c>
      <c r="M16" s="494">
        <v>11.4</v>
      </c>
      <c r="N16" s="494">
        <v>12</v>
      </c>
      <c r="O16" s="494">
        <v>13.968999999999999</v>
      </c>
      <c r="P16" s="494">
        <v>15.526</v>
      </c>
      <c r="Q16" s="494">
        <v>16.178000000000001</v>
      </c>
      <c r="R16" s="494">
        <v>16.09</v>
      </c>
      <c r="S16" s="494">
        <v>14.721</v>
      </c>
      <c r="T16" s="494">
        <v>14.957000000000001</v>
      </c>
      <c r="U16" s="494">
        <v>12.689</v>
      </c>
      <c r="V16" s="494">
        <v>16.056000000000001</v>
      </c>
      <c r="W16" s="494">
        <v>18.309000000000001</v>
      </c>
      <c r="X16" s="494">
        <v>20.274999999999999</v>
      </c>
      <c r="Y16" s="494">
        <v>18.03</v>
      </c>
      <c r="Z16" s="494">
        <v>17.015999999999998</v>
      </c>
      <c r="AA16" s="494">
        <v>18.073</v>
      </c>
      <c r="AB16" s="630" t="s">
        <v>35</v>
      </c>
    </row>
    <row r="17" spans="1:28" s="7" customFormat="1" ht="17.25" customHeight="1">
      <c r="A17" s="1218">
        <v>13</v>
      </c>
      <c r="B17" s="24" t="s">
        <v>219</v>
      </c>
      <c r="C17" s="231">
        <v>17.5</v>
      </c>
      <c r="D17" s="5">
        <v>18.762</v>
      </c>
      <c r="E17" s="5">
        <v>17.981000000000002</v>
      </c>
      <c r="F17" s="5">
        <v>20.097999999999999</v>
      </c>
      <c r="G17" s="494">
        <v>21.393999999999998</v>
      </c>
      <c r="H17" s="494">
        <v>20.478999999999999</v>
      </c>
      <c r="I17" s="494">
        <v>21.5</v>
      </c>
      <c r="J17" s="494">
        <v>23.6</v>
      </c>
      <c r="K17" s="494">
        <v>24.474</v>
      </c>
      <c r="L17" s="494">
        <v>24.9</v>
      </c>
      <c r="M17" s="494">
        <v>22.5</v>
      </c>
      <c r="N17" s="494">
        <v>22.9</v>
      </c>
      <c r="O17" s="494">
        <v>23.135000000000002</v>
      </c>
      <c r="P17" s="494">
        <v>21.658999999999999</v>
      </c>
      <c r="Q17" s="494">
        <v>24.23</v>
      </c>
      <c r="R17" s="494">
        <v>26.466999999999999</v>
      </c>
      <c r="S17" s="494">
        <v>26.888000000000002</v>
      </c>
      <c r="T17" s="494">
        <v>29.97</v>
      </c>
      <c r="U17" s="494">
        <v>23.756</v>
      </c>
      <c r="V17" s="494">
        <v>25.850999999999999</v>
      </c>
      <c r="W17" s="494">
        <v>28.222000000000001</v>
      </c>
      <c r="X17" s="494">
        <v>32.08</v>
      </c>
      <c r="Y17" s="494">
        <f>33.469+0.144</f>
        <v>33.613</v>
      </c>
      <c r="Z17" s="494">
        <v>34.595999999999997</v>
      </c>
      <c r="AA17" s="494">
        <v>29.07</v>
      </c>
      <c r="AB17" s="630" t="s">
        <v>37</v>
      </c>
    </row>
    <row r="18" spans="1:28" s="7" customFormat="1" ht="17.25" customHeight="1">
      <c r="A18" s="1217" t="s">
        <v>920</v>
      </c>
      <c r="B18" s="1215" t="s">
        <v>885</v>
      </c>
      <c r="C18" s="231">
        <v>23.052</v>
      </c>
      <c r="D18" s="5">
        <v>23.418999999999997</v>
      </c>
      <c r="E18" s="5">
        <v>22.173999999999999</v>
      </c>
      <c r="F18" s="5">
        <v>24.247</v>
      </c>
      <c r="G18" s="495">
        <v>24.812999999999999</v>
      </c>
      <c r="H18" s="495">
        <v>26.018000000000001</v>
      </c>
      <c r="I18" s="495">
        <v>27.958000000000002</v>
      </c>
      <c r="J18" s="495">
        <v>30.5</v>
      </c>
      <c r="K18" s="495">
        <v>30.1</v>
      </c>
      <c r="L18" s="495">
        <v>31.1</v>
      </c>
      <c r="M18" s="495">
        <v>34</v>
      </c>
      <c r="N18" s="495">
        <v>32.4</v>
      </c>
      <c r="O18" s="495">
        <v>34.08</v>
      </c>
      <c r="P18" s="495">
        <v>37.732999999999997</v>
      </c>
      <c r="Q18" s="495">
        <v>42.33</v>
      </c>
      <c r="R18" s="495">
        <v>46.453000000000003</v>
      </c>
      <c r="S18" s="495">
        <v>44.271000000000001</v>
      </c>
      <c r="T18" s="495">
        <v>48.269999999999996</v>
      </c>
      <c r="U18" s="495">
        <v>43.841999999999999</v>
      </c>
      <c r="V18" s="495">
        <v>45.230000000000004</v>
      </c>
      <c r="W18" s="495">
        <v>46.644000000000005</v>
      </c>
      <c r="X18" s="495">
        <v>44.283000000000001</v>
      </c>
      <c r="Y18" s="495">
        <f>SUM(Y19:Y21)</f>
        <v>42.102999999999994</v>
      </c>
      <c r="Z18" s="495">
        <v>36.613999999999997</v>
      </c>
      <c r="AA18" s="495">
        <v>47.49</v>
      </c>
      <c r="AB18" s="1212" t="s">
        <v>884</v>
      </c>
    </row>
    <row r="19" spans="1:28" s="7" customFormat="1" ht="17.25" customHeight="1">
      <c r="A19" s="1218">
        <v>1</v>
      </c>
      <c r="B19" s="24" t="s">
        <v>877</v>
      </c>
      <c r="C19" s="231">
        <v>4.9429999999999996</v>
      </c>
      <c r="D19" s="5">
        <v>5.0019999999999998</v>
      </c>
      <c r="E19" s="5">
        <v>4.4000000000000004</v>
      </c>
      <c r="F19" s="5">
        <v>5.8579999999999997</v>
      </c>
      <c r="G19" s="494">
        <v>6.1669999999999998</v>
      </c>
      <c r="H19" s="494">
        <v>6.9210000000000003</v>
      </c>
      <c r="I19" s="494">
        <v>6.7240000000000002</v>
      </c>
      <c r="J19" s="494">
        <v>8.3000000000000007</v>
      </c>
      <c r="K19" s="494">
        <v>8.9</v>
      </c>
      <c r="L19" s="494">
        <v>9.6999999999999993</v>
      </c>
      <c r="M19" s="494">
        <v>11.8</v>
      </c>
      <c r="N19" s="494">
        <v>10.1</v>
      </c>
      <c r="O19" s="494">
        <v>10.536</v>
      </c>
      <c r="P19" s="494">
        <v>13.064</v>
      </c>
      <c r="Q19" s="494">
        <v>14.779</v>
      </c>
      <c r="R19" s="494">
        <v>14.528</v>
      </c>
      <c r="S19" s="494">
        <v>11.587999999999999</v>
      </c>
      <c r="T19" s="494">
        <v>12.317</v>
      </c>
      <c r="U19" s="494">
        <v>10.122999999999999</v>
      </c>
      <c r="V19" s="494">
        <v>10.545999999999999</v>
      </c>
      <c r="W19" s="494">
        <v>13.781000000000001</v>
      </c>
      <c r="X19" s="494">
        <v>12.565</v>
      </c>
      <c r="Y19" s="494">
        <v>10.36</v>
      </c>
      <c r="Z19" s="494">
        <v>9.5329999999999995</v>
      </c>
      <c r="AA19" s="494">
        <v>13.33</v>
      </c>
      <c r="AB19" s="630" t="s">
        <v>17</v>
      </c>
    </row>
    <row r="20" spans="1:28" s="7" customFormat="1" ht="17.25" customHeight="1">
      <c r="A20" s="1218">
        <v>2</v>
      </c>
      <c r="B20" s="24" t="s">
        <v>872</v>
      </c>
      <c r="C20" s="231" t="s">
        <v>47</v>
      </c>
      <c r="D20" s="5">
        <v>0.249</v>
      </c>
      <c r="E20" s="5">
        <v>0.222</v>
      </c>
      <c r="F20" s="5">
        <v>0.217</v>
      </c>
      <c r="G20" s="494">
        <v>0.27700000000000002</v>
      </c>
      <c r="H20" s="494">
        <v>0.47299999999999998</v>
      </c>
      <c r="I20" s="494">
        <v>0.67800000000000005</v>
      </c>
      <c r="J20" s="494">
        <v>0.54800000000000004</v>
      </c>
      <c r="K20" s="494">
        <v>0.7</v>
      </c>
      <c r="L20" s="494">
        <v>0.5</v>
      </c>
      <c r="M20" s="494">
        <v>0.6</v>
      </c>
      <c r="N20" s="494">
        <v>1</v>
      </c>
      <c r="O20" s="494">
        <v>1.206</v>
      </c>
      <c r="P20" s="494">
        <v>1.5249999999999999</v>
      </c>
      <c r="Q20" s="494">
        <v>2.9630000000000001</v>
      </c>
      <c r="R20" s="494">
        <v>7.0810000000000004</v>
      </c>
      <c r="S20" s="494">
        <v>7.6269999999999998</v>
      </c>
      <c r="T20" s="494">
        <v>10.763</v>
      </c>
      <c r="U20" s="494">
        <v>9.4920000000000009</v>
      </c>
      <c r="V20" s="494">
        <v>8.48</v>
      </c>
      <c r="W20" s="494">
        <v>9.2940000000000005</v>
      </c>
      <c r="X20" s="494">
        <v>8.6760000000000002</v>
      </c>
      <c r="Y20" s="494">
        <v>8.2230000000000008</v>
      </c>
      <c r="Z20" s="494">
        <v>9.0559999999999992</v>
      </c>
      <c r="AA20" s="494">
        <v>10.525</v>
      </c>
      <c r="AB20" s="630" t="s">
        <v>33</v>
      </c>
    </row>
    <row r="21" spans="1:28" s="7" customFormat="1" ht="17.25" customHeight="1">
      <c r="A21" s="1218">
        <v>3</v>
      </c>
      <c r="B21" s="24" t="s">
        <v>681</v>
      </c>
      <c r="C21" s="231">
        <v>18.109000000000002</v>
      </c>
      <c r="D21" s="5">
        <v>18.167999999999999</v>
      </c>
      <c r="E21" s="5">
        <v>17.552</v>
      </c>
      <c r="F21" s="5">
        <v>18.172000000000001</v>
      </c>
      <c r="G21" s="494">
        <v>18.369</v>
      </c>
      <c r="H21" s="494">
        <v>18.623999999999999</v>
      </c>
      <c r="I21" s="494">
        <v>20.556000000000001</v>
      </c>
      <c r="J21" s="494">
        <v>21.567</v>
      </c>
      <c r="K21" s="494">
        <v>20.399999999999999</v>
      </c>
      <c r="L21" s="494">
        <v>21</v>
      </c>
      <c r="M21" s="494">
        <v>21.6</v>
      </c>
      <c r="N21" s="494">
        <v>21.3</v>
      </c>
      <c r="O21" s="494">
        <v>22.338000000000001</v>
      </c>
      <c r="P21" s="494">
        <v>23.143999999999998</v>
      </c>
      <c r="Q21" s="494">
        <v>24.59</v>
      </c>
      <c r="R21" s="494">
        <v>24.844000000000001</v>
      </c>
      <c r="S21" s="494">
        <v>25.056000000000001</v>
      </c>
      <c r="T21" s="494">
        <v>25.19</v>
      </c>
      <c r="U21" s="494">
        <v>24.227</v>
      </c>
      <c r="V21" s="494">
        <v>26.204000000000001</v>
      </c>
      <c r="W21" s="494">
        <v>23.568999999999999</v>
      </c>
      <c r="X21" s="494">
        <v>23.041</v>
      </c>
      <c r="Y21" s="494">
        <v>23.52</v>
      </c>
      <c r="Z21" s="494">
        <v>18.026</v>
      </c>
      <c r="AA21" s="494">
        <v>23.635000000000002</v>
      </c>
      <c r="AB21" s="630" t="s">
        <v>12</v>
      </c>
    </row>
    <row r="22" spans="1:28" s="7" customFormat="1" ht="19.5" customHeight="1">
      <c r="A22" s="391" t="s">
        <v>904</v>
      </c>
      <c r="C22" s="1177"/>
      <c r="AB22" s="493"/>
    </row>
    <row r="23" spans="1:28" ht="15.75" thickBot="1">
      <c r="A23" s="475" t="s">
        <v>636</v>
      </c>
      <c r="B23" s="206"/>
      <c r="C23" s="209"/>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492" t="s">
        <v>903</v>
      </c>
    </row>
    <row r="24" spans="1:28" ht="15.75" thickTop="1"/>
  </sheetData>
  <mergeCells count="1">
    <mergeCell ref="A1:AB1"/>
  </mergeCells>
  <conditionalFormatting sqref="AD4:XFD21 A4:AB21">
    <cfRule type="expression" dxfId="98" priority="1">
      <formula>MOD(ROW(),3)=1</formula>
    </cfRule>
  </conditionalFormatting>
  <printOptions horizontalCentered="1"/>
  <pageMargins left="0.23622047244094491" right="0.23622047244094491" top="0.74803149606299213" bottom="0.74803149606299213" header="0.31496062992125984" footer="0.31496062992125984"/>
  <pageSetup paperSize="9" firstPageNumber="90" fitToHeight="0" pageOrder="overThenDown" orientation="landscape" r:id="rId1"/>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D3816-9A4B-4285-BA4C-53AD5877AC80}">
  <sheetPr>
    <pageSetUpPr fitToPage="1"/>
  </sheetPr>
  <dimension ref="A1:N38"/>
  <sheetViews>
    <sheetView view="pageBreakPreview" zoomScaleSheetLayoutView="100" workbookViewId="0">
      <selection activeCell="S17" sqref="S17"/>
    </sheetView>
  </sheetViews>
  <sheetFormatPr defaultColWidth="9.140625" defaultRowHeight="15"/>
  <cols>
    <col min="1" max="1" width="36.7109375" style="381" customWidth="1"/>
    <col min="2" max="2" width="9.42578125" customWidth="1"/>
    <col min="3" max="4" width="10.85546875" hidden="1" customWidth="1"/>
    <col min="5" max="13" width="10.85546875" customWidth="1"/>
    <col min="14" max="14" width="37.42578125" bestFit="1" customWidth="1"/>
  </cols>
  <sheetData>
    <row r="1" spans="1:14" s="9" customFormat="1" ht="42" customHeight="1" thickTop="1">
      <c r="A1" s="2017" t="s">
        <v>2586</v>
      </c>
      <c r="B1" s="2018"/>
      <c r="C1" s="2018"/>
      <c r="D1" s="2018"/>
      <c r="E1" s="2018"/>
      <c r="F1" s="2018"/>
      <c r="G1" s="2018"/>
      <c r="H1" s="2018"/>
      <c r="I1" s="2018"/>
      <c r="J1" s="2018"/>
      <c r="K1" s="2018"/>
      <c r="L1" s="2018"/>
      <c r="M1" s="2018"/>
      <c r="N1" s="2019"/>
    </row>
    <row r="2" spans="1:14" s="93" customFormat="1" ht="24.75" customHeight="1">
      <c r="A2" s="517" t="s">
        <v>992</v>
      </c>
      <c r="B2" s="1773" t="s">
        <v>991</v>
      </c>
      <c r="C2" s="516" t="s">
        <v>2</v>
      </c>
      <c r="D2" s="516" t="s">
        <v>3</v>
      </c>
      <c r="E2" s="516" t="s">
        <v>13</v>
      </c>
      <c r="F2" s="514" t="s">
        <v>41</v>
      </c>
      <c r="G2" s="515" t="s">
        <v>42</v>
      </c>
      <c r="H2" s="514" t="s">
        <v>129</v>
      </c>
      <c r="I2" s="514" t="s">
        <v>142</v>
      </c>
      <c r="J2" s="514" t="s">
        <v>276</v>
      </c>
      <c r="K2" s="514" t="s">
        <v>522</v>
      </c>
      <c r="L2" s="514" t="s">
        <v>652</v>
      </c>
      <c r="M2" s="514" t="s">
        <v>990</v>
      </c>
      <c r="N2" s="1156" t="s">
        <v>989</v>
      </c>
    </row>
    <row r="3" spans="1:14" s="9" customFormat="1">
      <c r="A3" s="1148" t="s">
        <v>988</v>
      </c>
      <c r="B3" s="504"/>
      <c r="C3" s="504"/>
      <c r="D3" s="503"/>
      <c r="E3" s="503"/>
      <c r="F3" s="503"/>
      <c r="G3" s="503"/>
      <c r="H3" s="503"/>
      <c r="I3" s="503"/>
      <c r="J3" s="503"/>
      <c r="K3" s="503"/>
      <c r="L3" s="503"/>
      <c r="M3" s="502"/>
      <c r="N3" s="1219" t="s">
        <v>987</v>
      </c>
    </row>
    <row r="4" spans="1:14" s="9" customFormat="1">
      <c r="A4" s="1220" t="s">
        <v>986</v>
      </c>
      <c r="B4" s="508" t="s">
        <v>952</v>
      </c>
      <c r="C4" s="506">
        <v>38.089680000000001</v>
      </c>
      <c r="D4" s="499">
        <v>37.861986000000002</v>
      </c>
      <c r="E4" s="55">
        <v>37.788440999999999</v>
      </c>
      <c r="F4" s="55">
        <v>37.460998000000004</v>
      </c>
      <c r="G4" s="55">
        <v>36.941752000000001</v>
      </c>
      <c r="H4" s="55">
        <v>36.008828999999999</v>
      </c>
      <c r="I4" s="513">
        <v>35.684333000000002</v>
      </c>
      <c r="J4" s="513">
        <v>34.203265999999999</v>
      </c>
      <c r="K4" s="497">
        <v>32.169752000000003</v>
      </c>
      <c r="L4" s="497">
        <v>30.494089157146004</v>
      </c>
      <c r="M4" s="497">
        <v>29.690724170117001</v>
      </c>
      <c r="N4" s="1221" t="s">
        <v>974</v>
      </c>
    </row>
    <row r="5" spans="1:14" s="9" customFormat="1">
      <c r="A5" s="1220" t="s">
        <v>985</v>
      </c>
      <c r="B5" s="508" t="s">
        <v>342</v>
      </c>
      <c r="C5" s="506">
        <v>47.558587999999993</v>
      </c>
      <c r="D5" s="499">
        <v>40.679254999999998</v>
      </c>
      <c r="E5" s="55">
        <v>35.406882000000003</v>
      </c>
      <c r="F5" s="55">
        <v>33.657439999999994</v>
      </c>
      <c r="G5" s="55">
        <v>32.249216000000004</v>
      </c>
      <c r="H5" s="55">
        <v>31.896704</v>
      </c>
      <c r="I5" s="513">
        <v>32.649307000000007</v>
      </c>
      <c r="J5" s="513">
        <v>32.873370999999999</v>
      </c>
      <c r="K5" s="497">
        <v>31.184222933276207</v>
      </c>
      <c r="L5" s="497">
        <v>28.672561908974028</v>
      </c>
      <c r="M5" s="497">
        <v>34.023520105619014</v>
      </c>
      <c r="N5" s="1221" t="s">
        <v>972</v>
      </c>
    </row>
    <row r="6" spans="1:14" s="9" customFormat="1">
      <c r="A6" s="1222" t="s">
        <v>978</v>
      </c>
      <c r="B6" s="508" t="s">
        <v>952</v>
      </c>
      <c r="C6" s="506">
        <v>203.201911</v>
      </c>
      <c r="D6" s="499">
        <v>217.73648300000002</v>
      </c>
      <c r="E6" s="55">
        <v>220.75633100000002</v>
      </c>
      <c r="F6" s="55">
        <v>221.13553200000001</v>
      </c>
      <c r="G6" s="55">
        <v>231.92328899999998</v>
      </c>
      <c r="H6" s="55">
        <v>243.55082099999998</v>
      </c>
      <c r="I6" s="513">
        <v>254.40473800000001</v>
      </c>
      <c r="J6" s="513">
        <v>262.36126899999999</v>
      </c>
      <c r="K6" s="501">
        <v>262.94041999999996</v>
      </c>
      <c r="L6" s="501">
        <v>233.513071</v>
      </c>
      <c r="M6" s="1577">
        <v>254.305362</v>
      </c>
      <c r="N6" s="1221" t="s">
        <v>977</v>
      </c>
    </row>
    <row r="7" spans="1:14" s="9" customFormat="1">
      <c r="A7" s="1148" t="s">
        <v>984</v>
      </c>
      <c r="B7" s="504"/>
      <c r="C7" s="504"/>
      <c r="D7" s="503"/>
      <c r="E7" s="503"/>
      <c r="F7" s="503"/>
      <c r="G7" s="503"/>
      <c r="H7" s="503"/>
      <c r="I7" s="503"/>
      <c r="J7" s="503"/>
      <c r="K7" s="503"/>
      <c r="L7" s="503"/>
      <c r="M7" s="502"/>
      <c r="N7" s="1219" t="s">
        <v>983</v>
      </c>
    </row>
    <row r="8" spans="1:14" s="9" customFormat="1" ht="35.25" customHeight="1">
      <c r="A8" s="1223" t="s">
        <v>982</v>
      </c>
      <c r="B8" s="512" t="s">
        <v>952</v>
      </c>
      <c r="C8" s="511">
        <v>204.12139200000001</v>
      </c>
      <c r="D8" s="510">
        <v>219.21177900000001</v>
      </c>
      <c r="E8" s="1774">
        <v>222.49678300000002</v>
      </c>
      <c r="F8" s="509">
        <v>223.241771</v>
      </c>
      <c r="G8" s="509">
        <v>232.864799</v>
      </c>
      <c r="H8" s="509">
        <v>245.36211856999998</v>
      </c>
      <c r="I8" s="509">
        <v>251.93482049400001</v>
      </c>
      <c r="J8" s="509">
        <v>257.20486</v>
      </c>
      <c r="K8" s="509">
        <v>254.385941</v>
      </c>
      <c r="L8" s="509">
        <v>221.7732177879935</v>
      </c>
      <c r="M8" s="509">
        <v>241.70343000000003</v>
      </c>
      <c r="N8" s="1224" t="s">
        <v>981</v>
      </c>
    </row>
    <row r="9" spans="1:14" s="9" customFormat="1" ht="28.5" customHeight="1">
      <c r="A9" s="1222" t="s">
        <v>980</v>
      </c>
      <c r="B9" s="508" t="s">
        <v>342</v>
      </c>
      <c r="C9" s="506">
        <v>60.684258</v>
      </c>
      <c r="D9" s="499">
        <v>57.367341309648722</v>
      </c>
      <c r="E9" s="499">
        <v>52.374855103331534</v>
      </c>
      <c r="F9" s="55">
        <v>51.299751209354888</v>
      </c>
      <c r="G9" s="55">
        <v>52.517440864367224</v>
      </c>
      <c r="H9" s="55">
        <v>55.696899851865766</v>
      </c>
      <c r="I9" s="55">
        <v>59.170156370921497</v>
      </c>
      <c r="J9" s="55">
        <v>60.8</v>
      </c>
      <c r="K9" s="498">
        <v>64.144000000000005</v>
      </c>
      <c r="L9" s="497">
        <v>60.815121659999996</v>
      </c>
      <c r="M9" s="1577">
        <v>63.907335950000011</v>
      </c>
      <c r="N9" s="1225" t="s">
        <v>979</v>
      </c>
    </row>
    <row r="10" spans="1:14" s="9" customFormat="1">
      <c r="A10" s="1222" t="s">
        <v>978</v>
      </c>
      <c r="B10" s="508" t="s">
        <v>952</v>
      </c>
      <c r="C10" s="506">
        <v>148.13210000000001</v>
      </c>
      <c r="D10" s="499">
        <v>157.05670000000001</v>
      </c>
      <c r="E10" s="499">
        <v>158.40729999999996</v>
      </c>
      <c r="F10" s="499">
        <v>165.51990000000001</v>
      </c>
      <c r="G10" s="499">
        <v>184.67410000000001</v>
      </c>
      <c r="H10" s="499">
        <v>194.59719999999999</v>
      </c>
      <c r="I10" s="499">
        <v>206.16616683999962</v>
      </c>
      <c r="J10" s="499">
        <v>213.21620000000001</v>
      </c>
      <c r="K10" s="498">
        <v>214.12662644980696</v>
      </c>
      <c r="L10" s="501">
        <v>194.29532182621671</v>
      </c>
      <c r="M10" s="501">
        <v>204.23336637746169</v>
      </c>
      <c r="N10" s="1225" t="s">
        <v>977</v>
      </c>
    </row>
    <row r="11" spans="1:14" s="9" customFormat="1" ht="26.25" customHeight="1">
      <c r="A11" s="1775" t="s">
        <v>2610</v>
      </c>
      <c r="B11" s="504"/>
      <c r="C11" s="504"/>
      <c r="D11" s="503"/>
      <c r="E11" s="503"/>
      <c r="F11" s="503"/>
      <c r="G11" s="503"/>
      <c r="H11" s="503"/>
      <c r="I11" s="503"/>
      <c r="J11" s="503"/>
      <c r="K11" s="503"/>
      <c r="L11" s="503"/>
      <c r="M11" s="502"/>
      <c r="N11" s="1226" t="s">
        <v>976</v>
      </c>
    </row>
    <row r="12" spans="1:14" s="9" customFormat="1">
      <c r="A12" s="1222" t="s">
        <v>975</v>
      </c>
      <c r="B12" s="500" t="s">
        <v>952</v>
      </c>
      <c r="C12" s="506">
        <v>652.15899999999999</v>
      </c>
      <c r="D12" s="499">
        <v>651.553</v>
      </c>
      <c r="E12" s="55">
        <v>647.34</v>
      </c>
      <c r="F12" s="36">
        <v>635.59454463052748</v>
      </c>
      <c r="G12" s="36">
        <v>621.27520900000002</v>
      </c>
      <c r="H12" s="36">
        <v>604.099219952</v>
      </c>
      <c r="I12" s="36">
        <v>594.49</v>
      </c>
      <c r="J12" s="36">
        <v>618.94800000000009</v>
      </c>
      <c r="K12" s="507">
        <v>608.28487187670044</v>
      </c>
      <c r="L12" s="497">
        <v>591.92122137000001</v>
      </c>
      <c r="M12" s="1577">
        <v>651.76765965436346</v>
      </c>
      <c r="N12" s="1227" t="s">
        <v>974</v>
      </c>
    </row>
    <row r="13" spans="1:14" s="9" customFormat="1">
      <c r="A13" s="1222" t="s">
        <v>973</v>
      </c>
      <c r="B13" s="500" t="s">
        <v>342</v>
      </c>
      <c r="C13" s="506">
        <v>1166.7710000000002</v>
      </c>
      <c r="D13" s="499">
        <v>1171.664</v>
      </c>
      <c r="E13" s="55">
        <v>1199.1010000000001</v>
      </c>
      <c r="F13" s="36">
        <v>1251.989</v>
      </c>
      <c r="G13" s="36">
        <v>1227.5</v>
      </c>
      <c r="H13" s="36">
        <v>1289.6950000000002</v>
      </c>
      <c r="I13" s="36">
        <v>1339.5700000000002</v>
      </c>
      <c r="J13" s="36">
        <v>1380.6410000000001</v>
      </c>
      <c r="K13" s="507">
        <v>1373.5496808460414</v>
      </c>
      <c r="L13" s="497">
        <v>1372.3700147320003</v>
      </c>
      <c r="M13" s="497">
        <v>1138.6652503090395</v>
      </c>
      <c r="N13" s="1227" t="s">
        <v>972</v>
      </c>
    </row>
    <row r="14" spans="1:14" s="9" customFormat="1">
      <c r="A14" s="393" t="s">
        <v>971</v>
      </c>
      <c r="B14" s="504"/>
      <c r="C14" s="504"/>
      <c r="D14" s="503"/>
      <c r="E14" s="503"/>
      <c r="F14" s="503"/>
      <c r="G14" s="503"/>
      <c r="H14" s="503"/>
      <c r="I14" s="503"/>
      <c r="J14" s="503"/>
      <c r="K14" s="503"/>
      <c r="L14" s="503"/>
      <c r="M14" s="502"/>
      <c r="N14" s="1219" t="s">
        <v>970</v>
      </c>
    </row>
    <row r="15" spans="1:14" s="9" customFormat="1">
      <c r="A15" s="1228" t="s">
        <v>969</v>
      </c>
      <c r="B15" s="504"/>
      <c r="C15" s="504"/>
      <c r="D15" s="503"/>
      <c r="E15" s="503"/>
      <c r="F15" s="503"/>
      <c r="G15" s="503"/>
      <c r="H15" s="503"/>
      <c r="I15" s="503"/>
      <c r="J15" s="503"/>
      <c r="K15" s="503"/>
      <c r="L15" s="503"/>
      <c r="M15" s="502"/>
      <c r="N15" s="1219" t="s">
        <v>968</v>
      </c>
    </row>
    <row r="16" spans="1:14" s="9" customFormat="1">
      <c r="A16" s="1222" t="s">
        <v>956</v>
      </c>
      <c r="B16" s="500" t="s">
        <v>952</v>
      </c>
      <c r="C16" s="506">
        <v>171.729154097221</v>
      </c>
      <c r="D16" s="499">
        <v>184.79524788937999</v>
      </c>
      <c r="E16" s="55">
        <v>189.23820178337502</v>
      </c>
      <c r="F16" s="55">
        <v>189.43485654402394</v>
      </c>
      <c r="G16" s="55">
        <v>202.85049173136341</v>
      </c>
      <c r="H16" s="55">
        <v>213.93182953023481</v>
      </c>
      <c r="I16" s="55">
        <v>220.43279203083119</v>
      </c>
      <c r="J16" s="55">
        <v>226.49761635146422</v>
      </c>
      <c r="K16" s="505">
        <v>226.95466551568416</v>
      </c>
      <c r="L16" s="497">
        <v>196.46086094549045</v>
      </c>
      <c r="M16" s="505">
        <v>211.97987243623956</v>
      </c>
      <c r="N16" s="1229" t="s">
        <v>955</v>
      </c>
    </row>
    <row r="17" spans="1:14" s="9" customFormat="1">
      <c r="A17" s="1222" t="s">
        <v>948</v>
      </c>
      <c r="B17" s="500" t="s">
        <v>952</v>
      </c>
      <c r="C17" s="506">
        <v>13.214450363387753</v>
      </c>
      <c r="D17" s="499">
        <v>13.294</v>
      </c>
      <c r="E17" s="55">
        <v>13.434564379076924</v>
      </c>
      <c r="F17" s="55">
        <v>14.042664011570064</v>
      </c>
      <c r="G17" s="55">
        <v>16.142092949013069</v>
      </c>
      <c r="H17" s="55">
        <v>18.753956693560898</v>
      </c>
      <c r="I17" s="55">
        <v>20.708642615854245</v>
      </c>
      <c r="J17" s="55">
        <v>21.654022401584232</v>
      </c>
      <c r="K17" s="505">
        <v>25.574857395084255</v>
      </c>
      <c r="L17" s="497">
        <v>24.929333075733211</v>
      </c>
      <c r="M17" s="505">
        <v>23.227247046464239</v>
      </c>
      <c r="N17" s="1229" t="s">
        <v>947</v>
      </c>
    </row>
    <row r="18" spans="1:14" s="9" customFormat="1">
      <c r="A18" s="1222" t="s">
        <v>946</v>
      </c>
      <c r="B18" s="500" t="s">
        <v>952</v>
      </c>
      <c r="C18" s="506">
        <v>15.849370446253001</v>
      </c>
      <c r="D18" s="499">
        <v>16.354119653000001</v>
      </c>
      <c r="E18" s="55">
        <v>16.697004688</v>
      </c>
      <c r="F18" s="55">
        <v>21.301161557</v>
      </c>
      <c r="G18" s="55">
        <v>29.455754196099996</v>
      </c>
      <c r="H18" s="55">
        <v>36.287225948000007</v>
      </c>
      <c r="I18" s="55">
        <v>35.460834880927038</v>
      </c>
      <c r="J18" s="55">
        <v>33.348324303199995</v>
      </c>
      <c r="K18" s="505">
        <v>43.787610787399998</v>
      </c>
      <c r="L18" s="501">
        <v>43.247663142000007</v>
      </c>
      <c r="M18" s="1577">
        <v>42.061691697999997</v>
      </c>
      <c r="N18" s="1229" t="s">
        <v>945</v>
      </c>
    </row>
    <row r="19" spans="1:14" s="9" customFormat="1">
      <c r="A19" s="1222" t="s">
        <v>953</v>
      </c>
      <c r="B19" s="500" t="s">
        <v>952</v>
      </c>
      <c r="C19" s="506">
        <f>SUM(C16:C18)</f>
        <v>200.79297490686176</v>
      </c>
      <c r="D19" s="499">
        <v>214.44336754238</v>
      </c>
      <c r="E19" s="499">
        <v>219.36977085045194</v>
      </c>
      <c r="F19" s="499">
        <v>224.778682112594</v>
      </c>
      <c r="G19" s="499">
        <v>248.44833887647647</v>
      </c>
      <c r="H19" s="499">
        <v>268.97301217179569</v>
      </c>
      <c r="I19" s="499">
        <v>276.60226952761246</v>
      </c>
      <c r="J19" s="499">
        <v>281.54000000000002</v>
      </c>
      <c r="K19" s="498">
        <f>SUM(K16:K18)</f>
        <v>296.31713369816839</v>
      </c>
      <c r="L19" s="497">
        <f>SUM(L16:L18)</f>
        <v>264.63785716322366</v>
      </c>
      <c r="M19" s="497">
        <f>SUM(M16:M18)</f>
        <v>277.26881118070378</v>
      </c>
      <c r="N19" s="1229" t="s">
        <v>967</v>
      </c>
    </row>
    <row r="20" spans="1:14" s="9" customFormat="1">
      <c r="A20" s="1222" t="s">
        <v>966</v>
      </c>
      <c r="B20" s="500" t="s">
        <v>943</v>
      </c>
      <c r="C20" s="506">
        <v>6722.1984215600933</v>
      </c>
      <c r="D20" s="499">
        <v>7846.5227936349684</v>
      </c>
      <c r="E20" s="55">
        <v>8648.7477960696287</v>
      </c>
      <c r="F20" s="55">
        <v>6874.1617430431097</v>
      </c>
      <c r="G20" s="55">
        <v>4165.7884504958247</v>
      </c>
      <c r="H20" s="55">
        <v>4701.5931785025241</v>
      </c>
      <c r="I20" s="55">
        <v>5664.501480674141</v>
      </c>
      <c r="J20" s="55">
        <v>7831.8285010636864</v>
      </c>
      <c r="K20" s="505">
        <v>7170.0097515933076</v>
      </c>
      <c r="L20" s="497">
        <v>4597.7856921302337</v>
      </c>
      <c r="M20" s="497">
        <v>8993.1186594275132</v>
      </c>
      <c r="N20" s="1229" t="s">
        <v>949</v>
      </c>
    </row>
    <row r="21" spans="1:14" s="9" customFormat="1">
      <c r="A21" s="1222" t="s">
        <v>948</v>
      </c>
      <c r="B21" s="500" t="s">
        <v>943</v>
      </c>
      <c r="C21" s="506">
        <v>317.17703922066352</v>
      </c>
      <c r="D21" s="499">
        <v>417.57</v>
      </c>
      <c r="E21" s="55">
        <v>534.54524666403665</v>
      </c>
      <c r="F21" s="55">
        <v>583.58788649315875</v>
      </c>
      <c r="G21" s="55">
        <v>450.38</v>
      </c>
      <c r="H21" s="55">
        <v>410.84109334100003</v>
      </c>
      <c r="I21" s="55">
        <v>521.22020106100001</v>
      </c>
      <c r="J21" s="55">
        <v>718.67</v>
      </c>
      <c r="K21" s="505">
        <v>673.82767820891593</v>
      </c>
      <c r="L21" s="501">
        <v>581.29266952656599</v>
      </c>
      <c r="M21" s="1577">
        <v>1000.1080234539418</v>
      </c>
      <c r="N21" s="1229" t="s">
        <v>947</v>
      </c>
    </row>
    <row r="22" spans="1:14" s="9" customFormat="1">
      <c r="A22" s="1222" t="s">
        <v>946</v>
      </c>
      <c r="B22" s="500" t="s">
        <v>943</v>
      </c>
      <c r="C22" s="506">
        <v>680.91122633273551</v>
      </c>
      <c r="D22" s="499">
        <v>688.52055399191408</v>
      </c>
      <c r="E22" s="55">
        <v>758.96184879660666</v>
      </c>
      <c r="F22" s="55">
        <v>746.44136607089285</v>
      </c>
      <c r="G22" s="55">
        <v>653.61023877523292</v>
      </c>
      <c r="H22" s="55">
        <v>715.65686672056154</v>
      </c>
      <c r="I22" s="55">
        <v>883.73918662620531</v>
      </c>
      <c r="J22" s="55">
        <v>1136.6543716665253</v>
      </c>
      <c r="K22" s="505">
        <v>1257.4158788798661</v>
      </c>
      <c r="L22" s="497">
        <v>1094.2966526921573</v>
      </c>
      <c r="M22" s="497">
        <v>1886.3644661444082</v>
      </c>
      <c r="N22" s="1229" t="s">
        <v>945</v>
      </c>
    </row>
    <row r="23" spans="1:14" s="9" customFormat="1">
      <c r="A23" s="1222" t="s">
        <v>944</v>
      </c>
      <c r="B23" s="500" t="s">
        <v>943</v>
      </c>
      <c r="C23" s="506">
        <f>SUM(C20:C22)</f>
        <v>7720.286687113492</v>
      </c>
      <c r="D23" s="499">
        <v>8952.6133476268824</v>
      </c>
      <c r="E23" s="499">
        <v>9942.2548915302723</v>
      </c>
      <c r="F23" s="499">
        <v>8204.1909956071613</v>
      </c>
      <c r="G23" s="499">
        <v>5269.7786892710574</v>
      </c>
      <c r="H23" s="499">
        <v>5828.0911385640848</v>
      </c>
      <c r="I23" s="499">
        <v>7069.460868361346</v>
      </c>
      <c r="J23" s="499">
        <v>9689.7897101815724</v>
      </c>
      <c r="K23" s="498">
        <f>SUM(K20:K22)</f>
        <v>9101.2533086820895</v>
      </c>
      <c r="L23" s="497">
        <f>SUM(L20:L22)</f>
        <v>6273.3750143489569</v>
      </c>
      <c r="M23" s="497">
        <f>SUM(M20:M22)</f>
        <v>11879.591149025864</v>
      </c>
      <c r="N23" s="1229" t="s">
        <v>965</v>
      </c>
    </row>
    <row r="24" spans="1:14" s="9" customFormat="1">
      <c r="A24" s="393" t="s">
        <v>964</v>
      </c>
      <c r="B24" s="504"/>
      <c r="C24" s="504"/>
      <c r="D24" s="503"/>
      <c r="E24" s="503"/>
      <c r="F24" s="503"/>
      <c r="G24" s="503"/>
      <c r="H24" s="503"/>
      <c r="I24" s="503"/>
      <c r="J24" s="503"/>
      <c r="K24" s="503"/>
      <c r="L24" s="503"/>
      <c r="M24" s="502"/>
      <c r="N24" s="1219" t="s">
        <v>963</v>
      </c>
    </row>
    <row r="25" spans="1:14" s="9" customFormat="1">
      <c r="A25" s="1222" t="s">
        <v>962</v>
      </c>
      <c r="B25" s="500" t="s">
        <v>952</v>
      </c>
      <c r="C25" s="506">
        <v>60.837340519999991</v>
      </c>
      <c r="D25" s="499">
        <v>63.407761975930008</v>
      </c>
      <c r="E25" s="55">
        <v>67.864014699800009</v>
      </c>
      <c r="F25" s="55">
        <v>63.931857026299994</v>
      </c>
      <c r="G25" s="55">
        <v>60.538562213000006</v>
      </c>
      <c r="H25" s="55">
        <v>65.51346949068099</v>
      </c>
      <c r="I25" s="55">
        <v>66.832729412250004</v>
      </c>
      <c r="J25" s="55">
        <v>61.095732773732657</v>
      </c>
      <c r="K25" s="505">
        <v>65.685236175397193</v>
      </c>
      <c r="L25" s="497">
        <v>56.768700356004253</v>
      </c>
      <c r="M25" s="497">
        <v>62.712741283085158</v>
      </c>
      <c r="N25" s="1229" t="s">
        <v>961</v>
      </c>
    </row>
    <row r="26" spans="1:14" s="9" customFormat="1">
      <c r="A26" s="1222" t="s">
        <v>960</v>
      </c>
      <c r="B26" s="500" t="s">
        <v>943</v>
      </c>
      <c r="C26" s="506">
        <v>2846.4423002973181</v>
      </c>
      <c r="D26" s="506">
        <v>3200.8959253573266</v>
      </c>
      <c r="E26" s="55">
        <v>3682.7906709151516</v>
      </c>
      <c r="F26" s="55">
        <v>2885.7979575605555</v>
      </c>
      <c r="G26" s="55">
        <v>1767.7958123669077</v>
      </c>
      <c r="H26" s="55">
        <v>1948.9264238786698</v>
      </c>
      <c r="I26" s="55">
        <v>2253.8776033783997</v>
      </c>
      <c r="J26" s="55">
        <v>2676.9652439886554</v>
      </c>
      <c r="K26" s="505">
        <v>2540.175421898804</v>
      </c>
      <c r="L26" s="497">
        <v>1571.6771056863756</v>
      </c>
      <c r="M26" s="497">
        <v>3316.1515919535641</v>
      </c>
      <c r="N26" s="1229" t="s">
        <v>959</v>
      </c>
    </row>
    <row r="27" spans="1:14" s="9" customFormat="1">
      <c r="A27" s="1136" t="s">
        <v>958</v>
      </c>
      <c r="B27" s="504"/>
      <c r="C27" s="504"/>
      <c r="D27" s="503"/>
      <c r="E27" s="503"/>
      <c r="F27" s="503"/>
      <c r="G27" s="503"/>
      <c r="H27" s="503"/>
      <c r="I27" s="503"/>
      <c r="J27" s="503"/>
      <c r="K27" s="503"/>
      <c r="L27" s="503"/>
      <c r="M27" s="502"/>
      <c r="N27" s="1219" t="s">
        <v>957</v>
      </c>
    </row>
    <row r="28" spans="1:14" s="9" customFormat="1">
      <c r="A28" s="1222" t="s">
        <v>956</v>
      </c>
      <c r="B28" s="500" t="s">
        <v>952</v>
      </c>
      <c r="C28" s="499">
        <f>C16</f>
        <v>171.729154097221</v>
      </c>
      <c r="D28" s="499">
        <v>184.79524788937999</v>
      </c>
      <c r="E28" s="499">
        <v>189.23820178337502</v>
      </c>
      <c r="F28" s="499">
        <v>189.43485654402394</v>
      </c>
      <c r="G28" s="499">
        <v>202.85049173136341</v>
      </c>
      <c r="H28" s="499">
        <v>213.93182953023481</v>
      </c>
      <c r="I28" s="499">
        <v>220.43279203083119</v>
      </c>
      <c r="J28" s="499">
        <v>226.49761635146422</v>
      </c>
      <c r="K28" s="498">
        <f t="shared" ref="K28:M29" si="0">K16</f>
        <v>226.95466551568416</v>
      </c>
      <c r="L28" s="497">
        <f t="shared" si="0"/>
        <v>196.46086094549045</v>
      </c>
      <c r="M28" s="497">
        <f t="shared" si="0"/>
        <v>211.97987243623956</v>
      </c>
      <c r="N28" s="1229" t="s">
        <v>955</v>
      </c>
    </row>
    <row r="29" spans="1:14" s="9" customFormat="1">
      <c r="A29" s="1222" t="s">
        <v>948</v>
      </c>
      <c r="B29" s="500" t="s">
        <v>952</v>
      </c>
      <c r="C29" s="499">
        <f>C17</f>
        <v>13.214450363387753</v>
      </c>
      <c r="D29" s="499">
        <v>13.294</v>
      </c>
      <c r="E29" s="499">
        <v>13.434564379076924</v>
      </c>
      <c r="F29" s="499">
        <v>14.042664011570064</v>
      </c>
      <c r="G29" s="499">
        <v>16.142092949013069</v>
      </c>
      <c r="H29" s="499">
        <v>18.753956693560898</v>
      </c>
      <c r="I29" s="499">
        <v>20.708642615854245</v>
      </c>
      <c r="J29" s="499">
        <v>21.654022401584232</v>
      </c>
      <c r="K29" s="498">
        <f t="shared" si="0"/>
        <v>25.574857395084255</v>
      </c>
      <c r="L29" s="497">
        <f t="shared" si="0"/>
        <v>24.929333075733211</v>
      </c>
      <c r="M29" s="497">
        <f t="shared" si="0"/>
        <v>23.227247046464239</v>
      </c>
      <c r="N29" s="1229" t="s">
        <v>947</v>
      </c>
    </row>
    <row r="30" spans="1:14" s="9" customFormat="1">
      <c r="A30" s="1222" t="s">
        <v>946</v>
      </c>
      <c r="B30" s="500" t="s">
        <v>952</v>
      </c>
      <c r="C30" s="499">
        <f>C18-C25</f>
        <v>-44.987970073746993</v>
      </c>
      <c r="D30" s="499">
        <v>-47.053642322930003</v>
      </c>
      <c r="E30" s="499">
        <v>-51.167010011800009</v>
      </c>
      <c r="F30" s="499">
        <v>-42.630695469299994</v>
      </c>
      <c r="G30" s="499">
        <v>-31.08280801690001</v>
      </c>
      <c r="H30" s="499">
        <v>-29.226243542680983</v>
      </c>
      <c r="I30" s="499">
        <v>-31.371894531322965</v>
      </c>
      <c r="J30" s="499">
        <v>-27.747408470532662</v>
      </c>
      <c r="K30" s="498">
        <f>K18-K25</f>
        <v>-21.897625387997195</v>
      </c>
      <c r="L30" s="501">
        <f>L18-L25</f>
        <v>-13.521037214004245</v>
      </c>
      <c r="M30" s="1577">
        <f>M18-M25</f>
        <v>-20.651049585085161</v>
      </c>
      <c r="N30" s="1229" t="s">
        <v>954</v>
      </c>
    </row>
    <row r="31" spans="1:14" s="9" customFormat="1">
      <c r="A31" s="1222" t="s">
        <v>953</v>
      </c>
      <c r="B31" s="500" t="s">
        <v>952</v>
      </c>
      <c r="C31" s="499">
        <f>SUM(C28:C30)</f>
        <v>139.95563438686176</v>
      </c>
      <c r="D31" s="499">
        <v>151.03560556644999</v>
      </c>
      <c r="E31" s="499">
        <v>151.50575615065193</v>
      </c>
      <c r="F31" s="499">
        <v>160.84682508629402</v>
      </c>
      <c r="G31" s="499">
        <v>187.90977666347646</v>
      </c>
      <c r="H31" s="499">
        <v>203.45954268111473</v>
      </c>
      <c r="I31" s="499">
        <v>209.76954011536247</v>
      </c>
      <c r="J31" s="499">
        <v>220.40423028251578</v>
      </c>
      <c r="K31" s="498">
        <f>SUM(K28:K30)</f>
        <v>230.63189752277123</v>
      </c>
      <c r="L31" s="497">
        <f>SUM(L28:L30)</f>
        <v>207.86915680721941</v>
      </c>
      <c r="M31" s="497">
        <f>SUM(M28:M30)</f>
        <v>214.55606989761864</v>
      </c>
      <c r="N31" s="1229" t="s">
        <v>951</v>
      </c>
    </row>
    <row r="32" spans="1:14" s="9" customFormat="1">
      <c r="A32" s="1222" t="s">
        <v>950</v>
      </c>
      <c r="B32" s="500" t="s">
        <v>943</v>
      </c>
      <c r="C32" s="499">
        <f>C20</f>
        <v>6722.1984215600933</v>
      </c>
      <c r="D32" s="499">
        <v>7846.5227936349684</v>
      </c>
      <c r="E32" s="499">
        <v>8648.7477960696287</v>
      </c>
      <c r="F32" s="499">
        <v>6874.1617430431097</v>
      </c>
      <c r="G32" s="499">
        <v>4165.7884504958247</v>
      </c>
      <c r="H32" s="499">
        <v>4701.5931785025241</v>
      </c>
      <c r="I32" s="499">
        <v>5664.501480674141</v>
      </c>
      <c r="J32" s="499">
        <v>7831.8285010636864</v>
      </c>
      <c r="K32" s="498">
        <f t="shared" ref="K32:M33" si="1">K20</f>
        <v>7170.0097515933076</v>
      </c>
      <c r="L32" s="497">
        <f t="shared" si="1"/>
        <v>4597.7856921302337</v>
      </c>
      <c r="M32" s="497">
        <f t="shared" si="1"/>
        <v>8993.1186594275132</v>
      </c>
      <c r="N32" s="1229" t="s">
        <v>949</v>
      </c>
    </row>
    <row r="33" spans="1:14" s="9" customFormat="1">
      <c r="A33" s="1222" t="s">
        <v>948</v>
      </c>
      <c r="B33" s="500" t="s">
        <v>943</v>
      </c>
      <c r="C33" s="499">
        <f>C21</f>
        <v>317.17703922066352</v>
      </c>
      <c r="D33" s="499">
        <v>417.57</v>
      </c>
      <c r="E33" s="499">
        <v>534.54524666403665</v>
      </c>
      <c r="F33" s="499">
        <v>583.58788649315875</v>
      </c>
      <c r="G33" s="499">
        <v>450.38</v>
      </c>
      <c r="H33" s="499">
        <v>410.84109334100003</v>
      </c>
      <c r="I33" s="499">
        <v>521.22020106100001</v>
      </c>
      <c r="J33" s="499">
        <v>718.67</v>
      </c>
      <c r="K33" s="498">
        <f t="shared" si="1"/>
        <v>673.82767820891593</v>
      </c>
      <c r="L33" s="501">
        <f t="shared" si="1"/>
        <v>581.29266952656599</v>
      </c>
      <c r="M33" s="1577">
        <f t="shared" si="1"/>
        <v>1000.1080234539418</v>
      </c>
      <c r="N33" s="1229" t="s">
        <v>947</v>
      </c>
    </row>
    <row r="34" spans="1:14" s="9" customFormat="1">
      <c r="A34" s="1222" t="s">
        <v>946</v>
      </c>
      <c r="B34" s="500" t="s">
        <v>943</v>
      </c>
      <c r="C34" s="499">
        <f>C22-C26</f>
        <v>-2165.5310739645824</v>
      </c>
      <c r="D34" s="499">
        <v>-2512.3753713654123</v>
      </c>
      <c r="E34" s="499">
        <v>-2923.8288221185448</v>
      </c>
      <c r="F34" s="499">
        <v>-2139.3565914896626</v>
      </c>
      <c r="G34" s="499">
        <v>-1114.1855735916747</v>
      </c>
      <c r="H34" s="499">
        <v>-1233.2695571581082</v>
      </c>
      <c r="I34" s="499">
        <v>-1370.1384167521944</v>
      </c>
      <c r="J34" s="499">
        <v>-1540.3108723221301</v>
      </c>
      <c r="K34" s="498">
        <f>K22-K26</f>
        <v>-1282.7595430189378</v>
      </c>
      <c r="L34" s="497">
        <f>L22-L26</f>
        <v>-477.38045299421833</v>
      </c>
      <c r="M34" s="497">
        <f>M22-M26</f>
        <v>-1429.7871258091559</v>
      </c>
      <c r="N34" s="1229" t="s">
        <v>945</v>
      </c>
    </row>
    <row r="35" spans="1:14" s="9" customFormat="1">
      <c r="A35" s="1222" t="s">
        <v>944</v>
      </c>
      <c r="B35" s="500" t="s">
        <v>943</v>
      </c>
      <c r="C35" s="499">
        <f>SUM(C32:C34)</f>
        <v>4873.8443868161739</v>
      </c>
      <c r="D35" s="499">
        <v>5751.7174222695567</v>
      </c>
      <c r="E35" s="499">
        <v>6259.4642206151202</v>
      </c>
      <c r="F35" s="499">
        <v>5318.3930380466063</v>
      </c>
      <c r="G35" s="499">
        <v>3501.9828769041501</v>
      </c>
      <c r="H35" s="499">
        <v>3879.1647146854157</v>
      </c>
      <c r="I35" s="499">
        <v>4815.5832649829463</v>
      </c>
      <c r="J35" s="499">
        <v>7010.19</v>
      </c>
      <c r="K35" s="498">
        <f>SUM(K32:K34)</f>
        <v>6561.077886783286</v>
      </c>
      <c r="L35" s="497">
        <f>SUM(L32:L34)</f>
        <v>4701.6979086625815</v>
      </c>
      <c r="M35" s="497">
        <f>SUM(M32:M34)</f>
        <v>8563.4395570722991</v>
      </c>
      <c r="N35" s="1229" t="s">
        <v>942</v>
      </c>
    </row>
    <row r="36" spans="1:14" s="9" customFormat="1" ht="16.5" customHeight="1">
      <c r="A36" s="1776" t="s">
        <v>941</v>
      </c>
      <c r="B36" s="1777"/>
      <c r="C36" s="1777"/>
      <c r="D36" s="1777"/>
      <c r="E36" s="1777"/>
      <c r="F36" s="1777"/>
      <c r="G36" s="1777"/>
      <c r="H36" s="1777"/>
      <c r="I36" s="1777"/>
      <c r="J36" s="1777"/>
      <c r="K36" s="1777"/>
      <c r="L36" s="1777"/>
      <c r="M36" s="1777" t="s">
        <v>940</v>
      </c>
      <c r="N36" s="1778"/>
    </row>
    <row r="37" spans="1:14" s="9" customFormat="1" ht="16.5" customHeight="1" thickBot="1">
      <c r="A37" s="442" t="s">
        <v>939</v>
      </c>
      <c r="B37" s="194"/>
      <c r="C37" s="194" t="s">
        <v>938</v>
      </c>
      <c r="D37" s="194"/>
      <c r="E37" s="194"/>
      <c r="F37" s="194"/>
      <c r="G37" s="146"/>
      <c r="H37" s="194"/>
      <c r="I37" s="194"/>
      <c r="J37" s="194"/>
      <c r="K37" s="194"/>
      <c r="L37" s="194"/>
      <c r="M37" s="194"/>
      <c r="N37" s="197"/>
    </row>
    <row r="38" spans="1:14" ht="15.75" thickTop="1"/>
  </sheetData>
  <mergeCells count="1">
    <mergeCell ref="A1:N1"/>
  </mergeCells>
  <conditionalFormatting sqref="P3:XFD35 A3:N35">
    <cfRule type="expression" dxfId="97" priority="1">
      <formula>MOD(ROW(),3)=1</formula>
    </cfRule>
  </conditionalFormatting>
  <printOptions horizontalCentered="1"/>
  <pageMargins left="0.23622047244094491" right="0.23622047244094491" top="0.74803149606299213" bottom="0.74803149606299213" header="0.31496062992125984" footer="0.31496062992125984"/>
  <pageSetup paperSize="9" scale="78" firstPageNumber="90" fitToHeight="0" pageOrder="overThenDown" orientation="landscape" r:id="rId1"/>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15103-78E4-4A24-8547-5CEDEF9F4928}">
  <sheetPr>
    <pageSetUpPr fitToPage="1"/>
  </sheetPr>
  <dimension ref="A1:AD53"/>
  <sheetViews>
    <sheetView view="pageBreakPreview" topLeftCell="U1" zoomScale="80" zoomScaleSheetLayoutView="80" workbookViewId="0">
      <selection activeCell="S17" sqref="S17"/>
    </sheetView>
  </sheetViews>
  <sheetFormatPr defaultColWidth="9.140625" defaultRowHeight="15"/>
  <cols>
    <col min="1" max="1" width="22.5703125" style="518" hidden="1" customWidth="1"/>
    <col min="2" max="2" width="12.5703125" style="518" hidden="1" customWidth="1"/>
    <col min="3" max="3" width="10" style="518" hidden="1" customWidth="1"/>
    <col min="4" max="4" width="9.85546875" style="518" hidden="1" customWidth="1"/>
    <col min="5" max="5" width="9.5703125" style="518" hidden="1" customWidth="1"/>
    <col min="6" max="6" width="10.5703125" style="518" hidden="1" customWidth="1"/>
    <col min="7" max="7" width="14.42578125" style="518" hidden="1" customWidth="1"/>
    <col min="8" max="8" width="6.7109375" style="518" hidden="1" customWidth="1"/>
    <col min="9" max="9" width="13.140625" style="518" hidden="1" customWidth="1"/>
    <col min="10" max="10" width="25.28515625" style="518" hidden="1" customWidth="1"/>
    <col min="11" max="11" width="21" style="518" hidden="1" customWidth="1"/>
    <col min="12" max="19" width="10.7109375" style="518" hidden="1" customWidth="1"/>
    <col min="20" max="20" width="22.5703125" style="518" hidden="1" customWidth="1"/>
    <col min="21" max="21" width="24.7109375" style="518" customWidth="1"/>
    <col min="22" max="29" width="10.7109375" style="518" customWidth="1"/>
    <col min="30" max="30" width="28.42578125" style="518" customWidth="1"/>
    <col min="31" max="16384" width="9.140625" style="518"/>
  </cols>
  <sheetData>
    <row r="1" spans="1:30" s="404" customFormat="1" ht="36" customHeight="1" thickTop="1">
      <c r="A1" s="2022" t="s">
        <v>1116</v>
      </c>
      <c r="B1" s="2022"/>
      <c r="C1" s="2022"/>
      <c r="D1" s="2022"/>
      <c r="E1" s="2022"/>
      <c r="F1" s="2022"/>
      <c r="G1" s="2022"/>
      <c r="H1" s="2022"/>
      <c r="I1" s="2022"/>
      <c r="J1" s="2022"/>
      <c r="K1" s="2022" t="s">
        <v>1116</v>
      </c>
      <c r="L1" s="2022"/>
      <c r="M1" s="2022"/>
      <c r="N1" s="2022"/>
      <c r="O1" s="2022"/>
      <c r="P1" s="2022"/>
      <c r="Q1" s="2022"/>
      <c r="R1" s="2022"/>
      <c r="S1" s="2022"/>
      <c r="T1" s="2022"/>
      <c r="U1" s="2033" t="s">
        <v>2753</v>
      </c>
      <c r="V1" s="2034"/>
      <c r="W1" s="2034"/>
      <c r="X1" s="2034"/>
      <c r="Y1" s="2034"/>
      <c r="Z1" s="2034"/>
      <c r="AA1" s="2034"/>
      <c r="AB1" s="2034"/>
      <c r="AC1" s="2034"/>
      <c r="AD1" s="2035"/>
    </row>
    <row r="2" spans="1:30" s="404" customFormat="1" ht="20.25" customHeight="1">
      <c r="F2" s="2023" t="s">
        <v>1115</v>
      </c>
      <c r="G2" s="2023"/>
      <c r="H2" s="2023"/>
      <c r="I2" s="2023"/>
      <c r="J2" s="2023"/>
      <c r="P2" s="2023" t="s">
        <v>1114</v>
      </c>
      <c r="Q2" s="2023"/>
      <c r="R2" s="2023"/>
      <c r="S2" s="2023"/>
      <c r="T2" s="2023"/>
      <c r="U2" s="432"/>
      <c r="Z2" s="2023" t="s">
        <v>1113</v>
      </c>
      <c r="AA2" s="2023"/>
      <c r="AB2" s="2023"/>
      <c r="AC2" s="2023"/>
      <c r="AD2" s="2036"/>
    </row>
    <row r="3" spans="1:30" s="554" customFormat="1" ht="66" customHeight="1">
      <c r="A3" s="2024" t="s">
        <v>1112</v>
      </c>
      <c r="B3" s="2025" t="s">
        <v>1109</v>
      </c>
      <c r="C3" s="2025" t="s">
        <v>1108</v>
      </c>
      <c r="D3" s="2025" t="s">
        <v>1111</v>
      </c>
      <c r="E3" s="2025"/>
      <c r="F3" s="2025" t="s">
        <v>1106</v>
      </c>
      <c r="G3" s="2025" t="s">
        <v>1105</v>
      </c>
      <c r="H3" s="2025" t="s">
        <v>1110</v>
      </c>
      <c r="I3" s="2025"/>
      <c r="J3" s="2025" t="s">
        <v>1103</v>
      </c>
      <c r="K3" s="2024" t="s">
        <v>1096</v>
      </c>
      <c r="L3" s="2025" t="s">
        <v>1109</v>
      </c>
      <c r="M3" s="2025" t="s">
        <v>1108</v>
      </c>
      <c r="N3" s="2025" t="s">
        <v>1107</v>
      </c>
      <c r="O3" s="2025"/>
      <c r="P3" s="2025" t="s">
        <v>1106</v>
      </c>
      <c r="Q3" s="2025" t="s">
        <v>1105</v>
      </c>
      <c r="R3" s="2025" t="s">
        <v>1104</v>
      </c>
      <c r="S3" s="2025"/>
      <c r="T3" s="2026" t="s">
        <v>1103</v>
      </c>
      <c r="U3" s="2028" t="s">
        <v>1103</v>
      </c>
      <c r="V3" s="2025" t="s">
        <v>1102</v>
      </c>
      <c r="W3" s="2025" t="s">
        <v>1101</v>
      </c>
      <c r="X3" s="2027" t="s">
        <v>1100</v>
      </c>
      <c r="Y3" s="2027"/>
      <c r="Z3" s="2025" t="s">
        <v>1099</v>
      </c>
      <c r="AA3" s="2027" t="s">
        <v>1098</v>
      </c>
      <c r="AB3" s="2027" t="s">
        <v>1097</v>
      </c>
      <c r="AC3" s="2027"/>
      <c r="AD3" s="2037" t="s">
        <v>1096</v>
      </c>
    </row>
    <row r="4" spans="1:30" s="554" customFormat="1" ht="54" customHeight="1">
      <c r="A4" s="2024"/>
      <c r="B4" s="2025"/>
      <c r="C4" s="2025"/>
      <c r="D4" s="489" t="s">
        <v>1095</v>
      </c>
      <c r="E4" s="489" t="s">
        <v>1094</v>
      </c>
      <c r="F4" s="2025"/>
      <c r="G4" s="2025"/>
      <c r="H4" s="489" t="s">
        <v>1093</v>
      </c>
      <c r="I4" s="489" t="s">
        <v>1092</v>
      </c>
      <c r="J4" s="2025"/>
      <c r="K4" s="2024"/>
      <c r="L4" s="2025"/>
      <c r="M4" s="2025"/>
      <c r="N4" s="489" t="s">
        <v>1095</v>
      </c>
      <c r="O4" s="489" t="s">
        <v>1094</v>
      </c>
      <c r="P4" s="2025"/>
      <c r="Q4" s="2025"/>
      <c r="R4" s="489" t="s">
        <v>1093</v>
      </c>
      <c r="S4" s="489" t="s">
        <v>1092</v>
      </c>
      <c r="T4" s="2026"/>
      <c r="U4" s="2028"/>
      <c r="V4" s="2025"/>
      <c r="W4" s="2025"/>
      <c r="X4" s="489" t="s">
        <v>1091</v>
      </c>
      <c r="Y4" s="489" t="s">
        <v>1090</v>
      </c>
      <c r="Z4" s="2025"/>
      <c r="AA4" s="2027"/>
      <c r="AB4" s="489" t="s">
        <v>1089</v>
      </c>
      <c r="AC4" s="489" t="s">
        <v>1088</v>
      </c>
      <c r="AD4" s="2037"/>
    </row>
    <row r="5" spans="1:30" s="404" customFormat="1" ht="20.25" customHeight="1">
      <c r="A5" s="5" t="s">
        <v>38</v>
      </c>
      <c r="B5" s="542">
        <v>1571</v>
      </c>
      <c r="C5" s="542">
        <v>1571</v>
      </c>
      <c r="D5" s="552">
        <v>0</v>
      </c>
      <c r="E5" s="495">
        <f t="shared" ref="E5:E47" si="0">(D5*100)/B5</f>
        <v>0</v>
      </c>
      <c r="F5" s="542">
        <v>431</v>
      </c>
      <c r="G5" s="542">
        <v>431</v>
      </c>
      <c r="H5" s="396">
        <v>0</v>
      </c>
      <c r="I5" s="494">
        <v>0</v>
      </c>
      <c r="J5" s="543" t="s">
        <v>175</v>
      </c>
      <c r="K5" s="5" t="s">
        <v>1087</v>
      </c>
      <c r="L5" s="542">
        <v>1732</v>
      </c>
      <c r="M5" s="542">
        <v>1732</v>
      </c>
      <c r="N5" s="542">
        <v>0</v>
      </c>
      <c r="O5" s="542">
        <v>0</v>
      </c>
      <c r="P5" s="542">
        <v>431</v>
      </c>
      <c r="Q5" s="542">
        <v>431</v>
      </c>
      <c r="R5" s="542">
        <v>0</v>
      </c>
      <c r="S5" s="542">
        <v>0</v>
      </c>
      <c r="T5" s="541" t="s">
        <v>175</v>
      </c>
      <c r="U5" s="1230" t="s">
        <v>175</v>
      </c>
      <c r="V5" s="540">
        <v>1606</v>
      </c>
      <c r="W5" s="540">
        <v>1606</v>
      </c>
      <c r="X5" s="539">
        <v>0</v>
      </c>
      <c r="Y5" s="538">
        <v>0</v>
      </c>
      <c r="Z5" s="539">
        <v>426</v>
      </c>
      <c r="AA5" s="539">
        <v>426</v>
      </c>
      <c r="AB5" s="539">
        <v>0</v>
      </c>
      <c r="AC5" s="538">
        <v>0</v>
      </c>
      <c r="AD5" s="1231" t="s">
        <v>38</v>
      </c>
    </row>
    <row r="6" spans="1:30" s="404" customFormat="1" ht="20.25" customHeight="1">
      <c r="A6" s="5" t="s">
        <v>1086</v>
      </c>
      <c r="B6" s="542">
        <v>32299</v>
      </c>
      <c r="C6" s="542">
        <v>32282</v>
      </c>
      <c r="D6" s="552">
        <v>17</v>
      </c>
      <c r="E6" s="495">
        <f t="shared" si="0"/>
        <v>5.2633208458466203E-2</v>
      </c>
      <c r="F6" s="542">
        <v>7409</v>
      </c>
      <c r="G6" s="542">
        <v>7409</v>
      </c>
      <c r="H6" s="396">
        <v>0</v>
      </c>
      <c r="I6" s="494">
        <v>0</v>
      </c>
      <c r="J6" s="543" t="s">
        <v>1084</v>
      </c>
      <c r="K6" s="5" t="s">
        <v>1085</v>
      </c>
      <c r="L6" s="542">
        <v>33086</v>
      </c>
      <c r="M6" s="542">
        <v>33077</v>
      </c>
      <c r="N6" s="542">
        <v>9</v>
      </c>
      <c r="O6" s="542">
        <v>0</v>
      </c>
      <c r="P6" s="542">
        <v>7409</v>
      </c>
      <c r="Q6" s="542">
        <v>7409</v>
      </c>
      <c r="R6" s="542">
        <v>0</v>
      </c>
      <c r="S6" s="542">
        <v>0</v>
      </c>
      <c r="T6" s="541" t="s">
        <v>1084</v>
      </c>
      <c r="U6" s="1230" t="s">
        <v>1084</v>
      </c>
      <c r="V6" s="540">
        <v>31128</v>
      </c>
      <c r="W6" s="540">
        <v>31122</v>
      </c>
      <c r="X6" s="539">
        <v>6</v>
      </c>
      <c r="Y6" s="538">
        <v>0</v>
      </c>
      <c r="Z6" s="540">
        <v>7323</v>
      </c>
      <c r="AA6" s="540">
        <v>7323</v>
      </c>
      <c r="AB6" s="539">
        <v>0</v>
      </c>
      <c r="AC6" s="538">
        <v>0</v>
      </c>
      <c r="AD6" s="1231" t="s">
        <v>24</v>
      </c>
    </row>
    <row r="7" spans="1:30" s="404" customFormat="1" ht="20.25" customHeight="1">
      <c r="A7" s="5" t="s">
        <v>25</v>
      </c>
      <c r="B7" s="542">
        <v>53665</v>
      </c>
      <c r="C7" s="542">
        <v>53665</v>
      </c>
      <c r="D7" s="552">
        <v>0</v>
      </c>
      <c r="E7" s="495">
        <f t="shared" si="0"/>
        <v>0</v>
      </c>
      <c r="F7" s="542">
        <v>11001</v>
      </c>
      <c r="G7" s="542">
        <v>11001</v>
      </c>
      <c r="H7" s="396">
        <v>0</v>
      </c>
      <c r="I7" s="494">
        <v>0</v>
      </c>
      <c r="J7" s="543" t="s">
        <v>152</v>
      </c>
      <c r="K7" s="5" t="s">
        <v>1083</v>
      </c>
      <c r="L7" s="542">
        <v>54505</v>
      </c>
      <c r="M7" s="542">
        <v>54492</v>
      </c>
      <c r="N7" s="542">
        <v>13</v>
      </c>
      <c r="O7" s="542">
        <v>0</v>
      </c>
      <c r="P7" s="542">
        <v>11001</v>
      </c>
      <c r="Q7" s="542">
        <v>11001</v>
      </c>
      <c r="R7" s="542">
        <v>0</v>
      </c>
      <c r="S7" s="542">
        <v>0</v>
      </c>
      <c r="T7" s="541" t="s">
        <v>152</v>
      </c>
      <c r="U7" s="1230" t="s">
        <v>152</v>
      </c>
      <c r="V7" s="540">
        <v>55499</v>
      </c>
      <c r="W7" s="540">
        <v>55209</v>
      </c>
      <c r="X7" s="539">
        <v>290</v>
      </c>
      <c r="Y7" s="538">
        <v>0.5</v>
      </c>
      <c r="Z7" s="540">
        <v>12120</v>
      </c>
      <c r="AA7" s="540">
        <v>12120</v>
      </c>
      <c r="AB7" s="539">
        <v>0</v>
      </c>
      <c r="AC7" s="538">
        <v>0</v>
      </c>
      <c r="AD7" s="1231" t="s">
        <v>25</v>
      </c>
    </row>
    <row r="8" spans="1:30" s="404" customFormat="1" ht="20.25" customHeight="1">
      <c r="A8" s="5" t="s">
        <v>5</v>
      </c>
      <c r="B8" s="542">
        <v>9850</v>
      </c>
      <c r="C8" s="542">
        <v>9618</v>
      </c>
      <c r="D8" s="552">
        <v>232</v>
      </c>
      <c r="E8" s="495">
        <f t="shared" si="0"/>
        <v>2.3553299492385786</v>
      </c>
      <c r="F8" s="542">
        <v>1786</v>
      </c>
      <c r="G8" s="542">
        <v>1786</v>
      </c>
      <c r="H8" s="396">
        <v>0</v>
      </c>
      <c r="I8" s="494">
        <v>0</v>
      </c>
      <c r="J8" s="543" t="s">
        <v>153</v>
      </c>
      <c r="K8" s="5" t="s">
        <v>1082</v>
      </c>
      <c r="L8" s="542">
        <v>10424</v>
      </c>
      <c r="M8" s="542">
        <v>10353</v>
      </c>
      <c r="N8" s="542">
        <v>71</v>
      </c>
      <c r="O8" s="542">
        <v>0.7</v>
      </c>
      <c r="P8" s="542">
        <v>1786</v>
      </c>
      <c r="Q8" s="542">
        <v>1786</v>
      </c>
      <c r="R8" s="542">
        <v>0</v>
      </c>
      <c r="S8" s="542">
        <v>0</v>
      </c>
      <c r="T8" s="541" t="s">
        <v>153</v>
      </c>
      <c r="U8" s="1230" t="s">
        <v>153</v>
      </c>
      <c r="V8" s="540">
        <v>12115</v>
      </c>
      <c r="W8" s="540">
        <v>12088</v>
      </c>
      <c r="X8" s="539">
        <v>27</v>
      </c>
      <c r="Y8" s="538">
        <v>0.2</v>
      </c>
      <c r="Z8" s="540">
        <v>2030</v>
      </c>
      <c r="AA8" s="540">
        <v>2030</v>
      </c>
      <c r="AB8" s="539">
        <v>0</v>
      </c>
      <c r="AC8" s="538">
        <v>0</v>
      </c>
      <c r="AD8" s="1231" t="s">
        <v>5</v>
      </c>
    </row>
    <row r="9" spans="1:30" s="404" customFormat="1" ht="39.75" customHeight="1">
      <c r="A9" s="5" t="s">
        <v>1081</v>
      </c>
      <c r="B9" s="542">
        <v>18988</v>
      </c>
      <c r="C9" s="542">
        <v>15616</v>
      </c>
      <c r="D9" s="552">
        <v>3372</v>
      </c>
      <c r="E9" s="495">
        <f t="shared" si="0"/>
        <v>17.758584369075205</v>
      </c>
      <c r="F9" s="542">
        <v>3405</v>
      </c>
      <c r="G9" s="542">
        <v>2724</v>
      </c>
      <c r="H9" s="396">
        <v>681</v>
      </c>
      <c r="I9" s="494">
        <v>20</v>
      </c>
      <c r="J9" s="543" t="s">
        <v>1080</v>
      </c>
      <c r="K9" s="5" t="s">
        <v>26</v>
      </c>
      <c r="L9" s="542">
        <v>20025</v>
      </c>
      <c r="M9" s="542">
        <v>16259</v>
      </c>
      <c r="N9" s="542">
        <v>3767</v>
      </c>
      <c r="O9" s="542">
        <v>18.8</v>
      </c>
      <c r="P9" s="542">
        <v>3405</v>
      </c>
      <c r="Q9" s="542">
        <v>2724</v>
      </c>
      <c r="R9" s="542">
        <v>681</v>
      </c>
      <c r="S9" s="542">
        <v>20</v>
      </c>
      <c r="T9" s="541" t="s">
        <v>1080</v>
      </c>
      <c r="U9" s="1232" t="s">
        <v>1079</v>
      </c>
      <c r="V9" s="540">
        <v>19957</v>
      </c>
      <c r="W9" s="540">
        <v>18434</v>
      </c>
      <c r="X9" s="540">
        <v>1524</v>
      </c>
      <c r="Y9" s="538">
        <v>7.6</v>
      </c>
      <c r="Z9" s="540">
        <v>3076</v>
      </c>
      <c r="AA9" s="540">
        <v>2826</v>
      </c>
      <c r="AB9" s="539">
        <v>250</v>
      </c>
      <c r="AC9" s="538">
        <v>8.1</v>
      </c>
      <c r="AD9" s="1233" t="s">
        <v>1078</v>
      </c>
    </row>
    <row r="10" spans="1:30" s="404" customFormat="1" ht="20.25" customHeight="1">
      <c r="A10" s="5" t="s">
        <v>32</v>
      </c>
      <c r="B10" s="542">
        <v>55328</v>
      </c>
      <c r="C10" s="542">
        <v>55315</v>
      </c>
      <c r="D10" s="552">
        <v>13</v>
      </c>
      <c r="E10" s="495">
        <f t="shared" si="0"/>
        <v>2.3496240601503758E-2</v>
      </c>
      <c r="F10" s="542">
        <v>13606</v>
      </c>
      <c r="G10" s="542">
        <v>13606</v>
      </c>
      <c r="H10" s="396">
        <v>0</v>
      </c>
      <c r="I10" s="494">
        <v>0</v>
      </c>
      <c r="J10" s="543" t="s">
        <v>165</v>
      </c>
      <c r="K10" s="5" t="s">
        <v>1077</v>
      </c>
      <c r="L10" s="542">
        <v>56776</v>
      </c>
      <c r="M10" s="542">
        <v>56770</v>
      </c>
      <c r="N10" s="542">
        <v>6</v>
      </c>
      <c r="O10" s="542">
        <v>0</v>
      </c>
      <c r="P10" s="542">
        <v>13606</v>
      </c>
      <c r="Q10" s="542">
        <v>13606</v>
      </c>
      <c r="R10" s="542">
        <v>0</v>
      </c>
      <c r="S10" s="542">
        <v>0</v>
      </c>
      <c r="T10" s="541" t="s">
        <v>165</v>
      </c>
      <c r="U10" s="1230" t="s">
        <v>165</v>
      </c>
      <c r="V10" s="540">
        <v>62846</v>
      </c>
      <c r="W10" s="540">
        <v>62411</v>
      </c>
      <c r="X10" s="539">
        <v>436</v>
      </c>
      <c r="Y10" s="538">
        <v>0.7</v>
      </c>
      <c r="Z10" s="540">
        <v>13556</v>
      </c>
      <c r="AA10" s="540">
        <v>13431</v>
      </c>
      <c r="AB10" s="539">
        <v>125</v>
      </c>
      <c r="AC10" s="538">
        <v>0.9</v>
      </c>
      <c r="AD10" s="1231" t="s">
        <v>32</v>
      </c>
    </row>
    <row r="11" spans="1:30" s="404" customFormat="1" ht="20.25" customHeight="1">
      <c r="A11" s="5" t="s">
        <v>1076</v>
      </c>
      <c r="B11" s="542">
        <v>79815</v>
      </c>
      <c r="C11" s="542">
        <v>79626</v>
      </c>
      <c r="D11" s="552">
        <v>189</v>
      </c>
      <c r="E11" s="495">
        <f t="shared" si="0"/>
        <v>0.23679759443713588</v>
      </c>
      <c r="F11" s="542">
        <v>14277</v>
      </c>
      <c r="G11" s="542">
        <v>14277</v>
      </c>
      <c r="H11" s="396">
        <v>0</v>
      </c>
      <c r="I11" s="494">
        <v>0</v>
      </c>
      <c r="J11" s="543" t="s">
        <v>1074</v>
      </c>
      <c r="K11" s="5" t="s">
        <v>1075</v>
      </c>
      <c r="L11" s="542">
        <v>81281</v>
      </c>
      <c r="M11" s="542">
        <v>81222</v>
      </c>
      <c r="N11" s="542">
        <v>58</v>
      </c>
      <c r="O11" s="542">
        <v>0.1</v>
      </c>
      <c r="P11" s="542">
        <v>14277</v>
      </c>
      <c r="Q11" s="542">
        <v>14277</v>
      </c>
      <c r="R11" s="542">
        <v>0</v>
      </c>
      <c r="S11" s="542">
        <v>0</v>
      </c>
      <c r="T11" s="541" t="s">
        <v>1074</v>
      </c>
      <c r="U11" s="1230" t="s">
        <v>1074</v>
      </c>
      <c r="V11" s="540">
        <v>89814</v>
      </c>
      <c r="W11" s="540">
        <v>89310</v>
      </c>
      <c r="X11" s="539">
        <v>504</v>
      </c>
      <c r="Y11" s="538">
        <v>0.6</v>
      </c>
      <c r="Z11" s="540">
        <v>15784</v>
      </c>
      <c r="AA11" s="540">
        <v>15784</v>
      </c>
      <c r="AB11" s="539">
        <v>0</v>
      </c>
      <c r="AC11" s="538">
        <v>0</v>
      </c>
      <c r="AD11" s="1231" t="s">
        <v>33</v>
      </c>
    </row>
    <row r="12" spans="1:30" s="404" customFormat="1" ht="20.25" customHeight="1">
      <c r="A12" s="5" t="s">
        <v>35</v>
      </c>
      <c r="B12" s="542">
        <v>117133</v>
      </c>
      <c r="C12" s="542">
        <v>116149</v>
      </c>
      <c r="D12" s="552">
        <v>984</v>
      </c>
      <c r="E12" s="495">
        <f t="shared" si="0"/>
        <v>0.84007068887503944</v>
      </c>
      <c r="F12" s="542">
        <v>22599</v>
      </c>
      <c r="G12" s="542">
        <v>22057</v>
      </c>
      <c r="H12" s="396">
        <v>542</v>
      </c>
      <c r="I12" s="494">
        <v>2.4</v>
      </c>
      <c r="J12" s="543" t="s">
        <v>171</v>
      </c>
      <c r="K12" s="5" t="s">
        <v>1073</v>
      </c>
      <c r="L12" s="542">
        <v>122549</v>
      </c>
      <c r="M12" s="542">
        <v>121004</v>
      </c>
      <c r="N12" s="542">
        <v>1545</v>
      </c>
      <c r="O12" s="542">
        <v>1.3</v>
      </c>
      <c r="P12" s="542">
        <v>22599</v>
      </c>
      <c r="Q12" s="542">
        <v>22057</v>
      </c>
      <c r="R12" s="542">
        <v>542</v>
      </c>
      <c r="S12" s="542">
        <v>2.4</v>
      </c>
      <c r="T12" s="541" t="s">
        <v>171</v>
      </c>
      <c r="U12" s="1230" t="s">
        <v>171</v>
      </c>
      <c r="V12" s="540">
        <v>129448</v>
      </c>
      <c r="W12" s="540">
        <v>128310</v>
      </c>
      <c r="X12" s="540">
        <v>1138</v>
      </c>
      <c r="Y12" s="538">
        <v>0.9</v>
      </c>
      <c r="Z12" s="540">
        <v>24965</v>
      </c>
      <c r="AA12" s="540">
        <v>24795</v>
      </c>
      <c r="AB12" s="539">
        <v>170</v>
      </c>
      <c r="AC12" s="538">
        <v>0.7</v>
      </c>
      <c r="AD12" s="1231" t="s">
        <v>35</v>
      </c>
    </row>
    <row r="13" spans="1:30" s="404" customFormat="1" ht="20.25" customHeight="1">
      <c r="A13" s="5" t="s">
        <v>36</v>
      </c>
      <c r="B13" s="542">
        <v>13845</v>
      </c>
      <c r="C13" s="542">
        <v>13753</v>
      </c>
      <c r="D13" s="552">
        <v>92</v>
      </c>
      <c r="E13" s="495">
        <f t="shared" si="0"/>
        <v>0.66449981942939684</v>
      </c>
      <c r="F13" s="542">
        <v>2233</v>
      </c>
      <c r="G13" s="542">
        <v>2233</v>
      </c>
      <c r="H13" s="396">
        <v>0</v>
      </c>
      <c r="I13" s="494">
        <v>0</v>
      </c>
      <c r="J13" s="543" t="s">
        <v>172</v>
      </c>
      <c r="K13" s="5" t="s">
        <v>1072</v>
      </c>
      <c r="L13" s="542">
        <v>14472</v>
      </c>
      <c r="M13" s="542">
        <v>14376</v>
      </c>
      <c r="N13" s="542">
        <v>96</v>
      </c>
      <c r="O13" s="542">
        <v>0.7</v>
      </c>
      <c r="P13" s="542">
        <v>2233</v>
      </c>
      <c r="Q13" s="542">
        <v>2233</v>
      </c>
      <c r="R13" s="542">
        <v>0</v>
      </c>
      <c r="S13" s="542">
        <v>0</v>
      </c>
      <c r="T13" s="541" t="s">
        <v>172</v>
      </c>
      <c r="U13" s="1230" t="s">
        <v>172</v>
      </c>
      <c r="V13" s="540">
        <v>15521</v>
      </c>
      <c r="W13" s="540">
        <v>15426</v>
      </c>
      <c r="X13" s="539">
        <v>94</v>
      </c>
      <c r="Y13" s="538">
        <v>0.6</v>
      </c>
      <c r="Z13" s="540">
        <v>2468</v>
      </c>
      <c r="AA13" s="540">
        <v>2468</v>
      </c>
      <c r="AB13" s="539">
        <v>0</v>
      </c>
      <c r="AC13" s="538">
        <v>0</v>
      </c>
      <c r="AD13" s="1231" t="s">
        <v>36</v>
      </c>
    </row>
    <row r="14" spans="1:30" s="404" customFormat="1" ht="20.25" customHeight="1">
      <c r="A14" s="30" t="s">
        <v>1071</v>
      </c>
      <c r="B14" s="536">
        <f>SUM(B5:B13)-1</f>
        <v>382493</v>
      </c>
      <c r="C14" s="536">
        <f>SUM(C5:C13)</f>
        <v>377595</v>
      </c>
      <c r="D14" s="536">
        <f>SUM(D5:D13)</f>
        <v>4899</v>
      </c>
      <c r="E14" s="495">
        <f t="shared" si="0"/>
        <v>1.2808077533445057</v>
      </c>
      <c r="F14" s="536">
        <v>66559</v>
      </c>
      <c r="G14" s="536">
        <v>65865</v>
      </c>
      <c r="H14" s="395">
        <v>694</v>
      </c>
      <c r="I14" s="495">
        <v>1</v>
      </c>
      <c r="J14" s="535" t="s">
        <v>310</v>
      </c>
      <c r="K14" s="5" t="s">
        <v>1070</v>
      </c>
      <c r="L14" s="536">
        <v>394851</v>
      </c>
      <c r="M14" s="536">
        <v>389285</v>
      </c>
      <c r="N14" s="536">
        <v>5566</v>
      </c>
      <c r="O14" s="536">
        <v>1.4</v>
      </c>
      <c r="P14" s="536">
        <v>66559</v>
      </c>
      <c r="Q14" s="536">
        <v>65865</v>
      </c>
      <c r="R14" s="536">
        <v>694</v>
      </c>
      <c r="S14" s="536">
        <v>1</v>
      </c>
      <c r="T14" s="528" t="s">
        <v>310</v>
      </c>
      <c r="U14" s="1234" t="s">
        <v>310</v>
      </c>
      <c r="V14" s="527">
        <v>417934</v>
      </c>
      <c r="W14" s="527">
        <v>413915</v>
      </c>
      <c r="X14" s="527">
        <v>4019</v>
      </c>
      <c r="Y14" s="526">
        <v>1</v>
      </c>
      <c r="Z14" s="527">
        <v>73305</v>
      </c>
      <c r="AA14" s="527">
        <v>72935</v>
      </c>
      <c r="AB14" s="537">
        <v>370</v>
      </c>
      <c r="AC14" s="526">
        <v>0.5</v>
      </c>
      <c r="AD14" s="164" t="s">
        <v>309</v>
      </c>
    </row>
    <row r="15" spans="1:30" s="404" customFormat="1" ht="20.25" customHeight="1">
      <c r="A15" s="5" t="s">
        <v>23</v>
      </c>
      <c r="B15" s="542">
        <v>26471</v>
      </c>
      <c r="C15" s="542">
        <v>26417</v>
      </c>
      <c r="D15" s="552">
        <v>54</v>
      </c>
      <c r="E15" s="495">
        <f t="shared" si="0"/>
        <v>0.20399682671602887</v>
      </c>
      <c r="F15" s="542">
        <v>4746</v>
      </c>
      <c r="G15" s="542">
        <v>4736</v>
      </c>
      <c r="H15" s="396">
        <v>10</v>
      </c>
      <c r="I15" s="495">
        <v>0.2</v>
      </c>
      <c r="J15" s="543" t="s">
        <v>148</v>
      </c>
      <c r="K15" s="5" t="s">
        <v>1069</v>
      </c>
      <c r="L15" s="542">
        <v>30111</v>
      </c>
      <c r="M15" s="542">
        <v>30107</v>
      </c>
      <c r="N15" s="542">
        <v>4</v>
      </c>
      <c r="O15" s="542">
        <v>0</v>
      </c>
      <c r="P15" s="542">
        <v>4746</v>
      </c>
      <c r="Q15" s="542">
        <v>4736</v>
      </c>
      <c r="R15" s="542">
        <v>10</v>
      </c>
      <c r="S15" s="542">
        <v>0.2</v>
      </c>
      <c r="T15" s="541" t="s">
        <v>148</v>
      </c>
      <c r="U15" s="1230" t="s">
        <v>148</v>
      </c>
      <c r="V15" s="540">
        <v>31908</v>
      </c>
      <c r="W15" s="540">
        <v>31872</v>
      </c>
      <c r="X15" s="539">
        <v>35</v>
      </c>
      <c r="Y15" s="538">
        <v>0.1</v>
      </c>
      <c r="Z15" s="540">
        <v>5019</v>
      </c>
      <c r="AA15" s="540">
        <v>5014</v>
      </c>
      <c r="AB15" s="539">
        <v>5</v>
      </c>
      <c r="AC15" s="538">
        <v>0.1</v>
      </c>
      <c r="AD15" s="1231" t="s">
        <v>23</v>
      </c>
    </row>
    <row r="16" spans="1:30" s="404" customFormat="1" ht="20.25" customHeight="1">
      <c r="A16" s="5" t="s">
        <v>1068</v>
      </c>
      <c r="B16" s="542">
        <v>116372</v>
      </c>
      <c r="C16" s="542">
        <v>116356</v>
      </c>
      <c r="D16" s="396">
        <v>15</v>
      </c>
      <c r="E16" s="495">
        <f t="shared" si="0"/>
        <v>1.2889698552916509E-2</v>
      </c>
      <c r="F16" s="542">
        <v>18437</v>
      </c>
      <c r="G16" s="542">
        <v>18424</v>
      </c>
      <c r="H16" s="396">
        <v>13</v>
      </c>
      <c r="I16" s="495">
        <v>0.1</v>
      </c>
      <c r="J16" s="543" t="s">
        <v>1066</v>
      </c>
      <c r="K16" s="5" t="s">
        <v>1067</v>
      </c>
      <c r="L16" s="542">
        <v>113940</v>
      </c>
      <c r="M16" s="542">
        <v>113939</v>
      </c>
      <c r="N16" s="542">
        <v>1</v>
      </c>
      <c r="O16" s="542">
        <v>0</v>
      </c>
      <c r="P16" s="542">
        <v>18437</v>
      </c>
      <c r="Q16" s="542">
        <v>18424</v>
      </c>
      <c r="R16" s="542">
        <v>13</v>
      </c>
      <c r="S16" s="542">
        <v>0.1</v>
      </c>
      <c r="T16" s="541" t="s">
        <v>1066</v>
      </c>
      <c r="U16" s="1230" t="s">
        <v>1066</v>
      </c>
      <c r="V16" s="540">
        <v>123953</v>
      </c>
      <c r="W16" s="540">
        <v>123666</v>
      </c>
      <c r="X16" s="539">
        <v>287</v>
      </c>
      <c r="Y16" s="538">
        <v>0.2</v>
      </c>
      <c r="Z16" s="540">
        <v>19451</v>
      </c>
      <c r="AA16" s="540">
        <v>19431</v>
      </c>
      <c r="AB16" s="539">
        <v>20</v>
      </c>
      <c r="AC16" s="538">
        <v>0.1</v>
      </c>
      <c r="AD16" s="1231" t="s">
        <v>17</v>
      </c>
    </row>
    <row r="17" spans="1:30" s="404" customFormat="1" ht="20.25" customHeight="1">
      <c r="A17" s="5" t="s">
        <v>18</v>
      </c>
      <c r="B17" s="542">
        <v>76056</v>
      </c>
      <c r="C17" s="542">
        <v>76054</v>
      </c>
      <c r="D17" s="396">
        <v>2</v>
      </c>
      <c r="E17" s="495">
        <f t="shared" si="0"/>
        <v>2.6296413169243716E-3</v>
      </c>
      <c r="F17" s="542">
        <v>14886</v>
      </c>
      <c r="G17" s="542">
        <v>14855</v>
      </c>
      <c r="H17" s="396">
        <v>31</v>
      </c>
      <c r="I17" s="495">
        <v>0.2</v>
      </c>
      <c r="J17" s="543" t="s">
        <v>158</v>
      </c>
      <c r="K17" s="5" t="s">
        <v>1065</v>
      </c>
      <c r="L17" s="542">
        <v>76172</v>
      </c>
      <c r="M17" s="542">
        <v>76172</v>
      </c>
      <c r="N17" s="542">
        <v>0</v>
      </c>
      <c r="O17" s="542">
        <v>0</v>
      </c>
      <c r="P17" s="542">
        <v>14886</v>
      </c>
      <c r="Q17" s="542">
        <v>14855</v>
      </c>
      <c r="R17" s="542">
        <v>31</v>
      </c>
      <c r="S17" s="542">
        <v>0.2</v>
      </c>
      <c r="T17" s="541" t="s">
        <v>158</v>
      </c>
      <c r="U17" s="1230" t="s">
        <v>158</v>
      </c>
      <c r="V17" s="540">
        <v>86501</v>
      </c>
      <c r="W17" s="540">
        <v>86455</v>
      </c>
      <c r="X17" s="539">
        <v>46</v>
      </c>
      <c r="Y17" s="538">
        <v>0.1</v>
      </c>
      <c r="Z17" s="540">
        <v>15917</v>
      </c>
      <c r="AA17" s="540">
        <v>15917</v>
      </c>
      <c r="AB17" s="539">
        <v>0</v>
      </c>
      <c r="AC17" s="538">
        <v>0</v>
      </c>
      <c r="AD17" s="1231" t="s">
        <v>18</v>
      </c>
    </row>
    <row r="18" spans="1:30" s="404" customFormat="1" ht="20.25" customHeight="1">
      <c r="A18" s="5" t="s">
        <v>1064</v>
      </c>
      <c r="B18" s="542">
        <v>158295</v>
      </c>
      <c r="C18" s="542">
        <v>158157</v>
      </c>
      <c r="D18" s="396">
        <v>137</v>
      </c>
      <c r="E18" s="495">
        <f t="shared" si="0"/>
        <v>8.6547269338892577E-2</v>
      </c>
      <c r="F18" s="542">
        <v>24550</v>
      </c>
      <c r="G18" s="542">
        <v>24550</v>
      </c>
      <c r="H18" s="396">
        <v>0</v>
      </c>
      <c r="I18" s="495">
        <v>0</v>
      </c>
      <c r="J18" s="543" t="s">
        <v>1062</v>
      </c>
      <c r="K18" s="5" t="s">
        <v>1063</v>
      </c>
      <c r="L18" s="542">
        <v>155167</v>
      </c>
      <c r="M18" s="542">
        <v>155166</v>
      </c>
      <c r="N18" s="542">
        <v>0</v>
      </c>
      <c r="O18" s="542">
        <v>0</v>
      </c>
      <c r="P18" s="542">
        <v>24550</v>
      </c>
      <c r="Q18" s="542">
        <v>24550</v>
      </c>
      <c r="R18" s="542">
        <v>0</v>
      </c>
      <c r="S18" s="542">
        <v>0</v>
      </c>
      <c r="T18" s="541" t="s">
        <v>1062</v>
      </c>
      <c r="U18" s="1230" t="s">
        <v>1062</v>
      </c>
      <c r="V18" s="540">
        <v>172823</v>
      </c>
      <c r="W18" s="540">
        <v>172809</v>
      </c>
      <c r="X18" s="539">
        <v>14</v>
      </c>
      <c r="Y18" s="538">
        <v>0</v>
      </c>
      <c r="Z18" s="540">
        <v>28075</v>
      </c>
      <c r="AA18" s="540">
        <v>28016</v>
      </c>
      <c r="AB18" s="539">
        <v>59</v>
      </c>
      <c r="AC18" s="538">
        <v>0.2</v>
      </c>
      <c r="AD18" s="1231" t="s">
        <v>29</v>
      </c>
    </row>
    <row r="19" spans="1:30" s="404" customFormat="1" ht="20.25" customHeight="1" thickBot="1">
      <c r="A19" s="5" t="s">
        <v>4</v>
      </c>
      <c r="B19" s="542">
        <v>2558</v>
      </c>
      <c r="C19" s="542">
        <v>2558</v>
      </c>
      <c r="D19" s="396">
        <v>0</v>
      </c>
      <c r="E19" s="495">
        <f t="shared" si="0"/>
        <v>0</v>
      </c>
      <c r="F19" s="542">
        <v>351</v>
      </c>
      <c r="G19" s="542">
        <v>350</v>
      </c>
      <c r="H19" s="396">
        <v>1</v>
      </c>
      <c r="I19" s="495">
        <v>0.2</v>
      </c>
      <c r="J19" s="543" t="s">
        <v>177</v>
      </c>
      <c r="K19" s="5" t="s">
        <v>1061</v>
      </c>
      <c r="L19" s="542">
        <v>2574</v>
      </c>
      <c r="M19" s="542">
        <v>2574</v>
      </c>
      <c r="N19" s="542">
        <v>0</v>
      </c>
      <c r="O19" s="542">
        <v>0</v>
      </c>
      <c r="P19" s="542">
        <v>351</v>
      </c>
      <c r="Q19" s="542">
        <v>350</v>
      </c>
      <c r="R19" s="542">
        <v>1</v>
      </c>
      <c r="S19" s="542">
        <v>0.2</v>
      </c>
      <c r="T19" s="541" t="s">
        <v>177</v>
      </c>
      <c r="U19" s="1235" t="s">
        <v>177</v>
      </c>
      <c r="V19" s="1581">
        <v>2594</v>
      </c>
      <c r="W19" s="1581">
        <v>2594</v>
      </c>
      <c r="X19" s="1582">
        <v>0</v>
      </c>
      <c r="Y19" s="1583">
        <v>0</v>
      </c>
      <c r="Z19" s="1582">
        <v>371</v>
      </c>
      <c r="AA19" s="1582">
        <v>369</v>
      </c>
      <c r="AB19" s="1582">
        <v>2</v>
      </c>
      <c r="AC19" s="1583">
        <v>0.4</v>
      </c>
      <c r="AD19" s="1584" t="s">
        <v>4</v>
      </c>
    </row>
    <row r="20" spans="1:30" s="404" customFormat="1" ht="20.25" customHeight="1" thickTop="1">
      <c r="A20" s="5" t="s">
        <v>107</v>
      </c>
      <c r="B20" s="542">
        <v>6303</v>
      </c>
      <c r="C20" s="542">
        <v>6302</v>
      </c>
      <c r="D20" s="396">
        <v>0</v>
      </c>
      <c r="E20" s="495">
        <f t="shared" si="0"/>
        <v>0</v>
      </c>
      <c r="F20" s="542">
        <v>826</v>
      </c>
      <c r="G20" s="542">
        <v>826</v>
      </c>
      <c r="H20" s="396">
        <v>0</v>
      </c>
      <c r="I20" s="495">
        <v>0</v>
      </c>
      <c r="J20" s="543" t="s">
        <v>176</v>
      </c>
      <c r="K20" s="5" t="s">
        <v>1060</v>
      </c>
      <c r="L20" s="542">
        <v>6528</v>
      </c>
      <c r="M20" s="542">
        <v>6528</v>
      </c>
      <c r="N20" s="542">
        <v>0</v>
      </c>
      <c r="O20" s="542">
        <v>0</v>
      </c>
      <c r="P20" s="542">
        <v>826</v>
      </c>
      <c r="Q20" s="542">
        <v>826</v>
      </c>
      <c r="R20" s="542">
        <v>0</v>
      </c>
      <c r="S20" s="542">
        <v>0</v>
      </c>
      <c r="T20" s="541" t="s">
        <v>176</v>
      </c>
      <c r="U20" s="1236" t="s">
        <v>176</v>
      </c>
      <c r="V20" s="1578">
        <v>6839</v>
      </c>
      <c r="W20" s="1578">
        <v>6839</v>
      </c>
      <c r="X20" s="1579">
        <v>0</v>
      </c>
      <c r="Y20" s="1580">
        <v>0</v>
      </c>
      <c r="Z20" s="1579">
        <v>891</v>
      </c>
      <c r="AA20" s="1579">
        <v>888</v>
      </c>
      <c r="AB20" s="1579">
        <v>3</v>
      </c>
      <c r="AC20" s="1580">
        <v>0.3</v>
      </c>
      <c r="AD20" s="1237" t="s">
        <v>107</v>
      </c>
    </row>
    <row r="21" spans="1:30" s="404" customFormat="1" ht="20.25" customHeight="1">
      <c r="A21" s="5" t="s">
        <v>16</v>
      </c>
      <c r="B21" s="542">
        <v>4295</v>
      </c>
      <c r="C21" s="542">
        <v>4292</v>
      </c>
      <c r="D21" s="396">
        <v>3</v>
      </c>
      <c r="E21" s="495">
        <f t="shared" si="0"/>
        <v>6.9848661233993012E-2</v>
      </c>
      <c r="F21" s="542">
        <v>625</v>
      </c>
      <c r="G21" s="542">
        <v>625</v>
      </c>
      <c r="H21" s="396">
        <v>0</v>
      </c>
      <c r="I21" s="495">
        <v>0</v>
      </c>
      <c r="J21" s="543" t="s">
        <v>150</v>
      </c>
      <c r="K21" s="5" t="s">
        <v>1059</v>
      </c>
      <c r="L21" s="542">
        <v>4350</v>
      </c>
      <c r="M21" s="542">
        <v>4350</v>
      </c>
      <c r="N21" s="542">
        <v>0</v>
      </c>
      <c r="O21" s="542">
        <v>0</v>
      </c>
      <c r="P21" s="542">
        <v>625</v>
      </c>
      <c r="Q21" s="542">
        <v>625</v>
      </c>
      <c r="R21" s="542">
        <v>0</v>
      </c>
      <c r="S21" s="542">
        <v>0</v>
      </c>
      <c r="T21" s="541" t="s">
        <v>150</v>
      </c>
      <c r="U21" s="1230" t="s">
        <v>150</v>
      </c>
      <c r="V21" s="540">
        <v>4448</v>
      </c>
      <c r="W21" s="540">
        <v>4448</v>
      </c>
      <c r="X21" s="539">
        <v>0</v>
      </c>
      <c r="Y21" s="538">
        <v>0</v>
      </c>
      <c r="Z21" s="539">
        <v>703</v>
      </c>
      <c r="AA21" s="539">
        <v>701</v>
      </c>
      <c r="AB21" s="539">
        <v>2</v>
      </c>
      <c r="AC21" s="538">
        <v>0.3</v>
      </c>
      <c r="AD21" s="1231" t="s">
        <v>16</v>
      </c>
    </row>
    <row r="22" spans="1:30" s="404" customFormat="1" ht="20.25" customHeight="1">
      <c r="A22" s="30" t="s">
        <v>1058</v>
      </c>
      <c r="B22" s="536">
        <v>390349</v>
      </c>
      <c r="C22" s="536">
        <f>SUM(C15:C21)</f>
        <v>390136</v>
      </c>
      <c r="D22" s="536">
        <v>212</v>
      </c>
      <c r="E22" s="495">
        <f t="shared" si="0"/>
        <v>5.4310373537526678E-2</v>
      </c>
      <c r="F22" s="536">
        <v>59416</v>
      </c>
      <c r="G22" s="536">
        <v>59416</v>
      </c>
      <c r="H22" s="395">
        <v>0</v>
      </c>
      <c r="I22" s="495">
        <v>0</v>
      </c>
      <c r="J22" s="535" t="s">
        <v>1056</v>
      </c>
      <c r="K22" s="5" t="s">
        <v>1057</v>
      </c>
      <c r="L22" s="536">
        <v>388841</v>
      </c>
      <c r="M22" s="536">
        <v>388836</v>
      </c>
      <c r="N22" s="536">
        <v>5</v>
      </c>
      <c r="O22" s="536">
        <v>0</v>
      </c>
      <c r="P22" s="536">
        <v>59416</v>
      </c>
      <c r="Q22" s="536">
        <v>59416</v>
      </c>
      <c r="R22" s="536">
        <v>0</v>
      </c>
      <c r="S22" s="536">
        <v>0</v>
      </c>
      <c r="T22" s="528" t="s">
        <v>1056</v>
      </c>
      <c r="U22" s="1234" t="s">
        <v>1056</v>
      </c>
      <c r="V22" s="527">
        <v>429065</v>
      </c>
      <c r="W22" s="527">
        <v>428683</v>
      </c>
      <c r="X22" s="537">
        <v>383</v>
      </c>
      <c r="Y22" s="526">
        <v>0.1</v>
      </c>
      <c r="Z22" s="527">
        <v>65433</v>
      </c>
      <c r="AA22" s="527">
        <v>65205</v>
      </c>
      <c r="AB22" s="537">
        <v>228</v>
      </c>
      <c r="AC22" s="526">
        <v>0.3</v>
      </c>
      <c r="AD22" s="164" t="s">
        <v>317</v>
      </c>
    </row>
    <row r="23" spans="1:30" s="404" customFormat="1" ht="20.25" customHeight="1">
      <c r="A23" s="5" t="s">
        <v>328</v>
      </c>
      <c r="B23" s="542">
        <v>63861</v>
      </c>
      <c r="C23" s="542">
        <v>63804</v>
      </c>
      <c r="D23" s="396">
        <v>58</v>
      </c>
      <c r="E23" s="495">
        <f t="shared" si="0"/>
        <v>9.0822254584175005E-2</v>
      </c>
      <c r="F23" s="542">
        <v>10225</v>
      </c>
      <c r="G23" s="542">
        <v>10207</v>
      </c>
      <c r="H23" s="396">
        <v>18</v>
      </c>
      <c r="I23" s="494">
        <v>0.2</v>
      </c>
      <c r="J23" s="543" t="s">
        <v>1054</v>
      </c>
      <c r="K23" s="5" t="s">
        <v>1055</v>
      </c>
      <c r="L23" s="542">
        <v>65452</v>
      </c>
      <c r="M23" s="542">
        <v>65414</v>
      </c>
      <c r="N23" s="542">
        <v>38</v>
      </c>
      <c r="O23" s="542">
        <v>0.1</v>
      </c>
      <c r="P23" s="542">
        <v>10225</v>
      </c>
      <c r="Q23" s="542">
        <v>10207</v>
      </c>
      <c r="R23" s="542">
        <v>18</v>
      </c>
      <c r="S23" s="542">
        <v>0.2</v>
      </c>
      <c r="T23" s="541" t="s">
        <v>1054</v>
      </c>
      <c r="U23" s="1230" t="s">
        <v>1054</v>
      </c>
      <c r="V23" s="540">
        <v>68413</v>
      </c>
      <c r="W23" s="540">
        <v>68219</v>
      </c>
      <c r="X23" s="539">
        <v>194</v>
      </c>
      <c r="Y23" s="538">
        <v>0.3</v>
      </c>
      <c r="Z23" s="540">
        <v>12551</v>
      </c>
      <c r="AA23" s="540">
        <v>12032</v>
      </c>
      <c r="AB23" s="539">
        <v>519</v>
      </c>
      <c r="AC23" s="538">
        <v>4.0999999999999996</v>
      </c>
      <c r="AD23" s="1231" t="s">
        <v>14</v>
      </c>
    </row>
    <row r="24" spans="1:30" s="404" customFormat="1" ht="20.25" customHeight="1">
      <c r="A24" s="5" t="s">
        <v>12</v>
      </c>
      <c r="B24" s="542">
        <v>109482</v>
      </c>
      <c r="C24" s="542">
        <v>109380</v>
      </c>
      <c r="D24" s="396">
        <v>102</v>
      </c>
      <c r="E24" s="495">
        <f t="shared" si="0"/>
        <v>9.3165999890392939E-2</v>
      </c>
      <c r="F24" s="542">
        <v>13168</v>
      </c>
      <c r="G24" s="542">
        <v>13168</v>
      </c>
      <c r="H24" s="396">
        <v>0</v>
      </c>
      <c r="I24" s="494">
        <v>0</v>
      </c>
      <c r="J24" s="543" t="s">
        <v>168</v>
      </c>
      <c r="K24" s="5" t="s">
        <v>1053</v>
      </c>
      <c r="L24" s="542">
        <v>68306</v>
      </c>
      <c r="M24" s="542">
        <v>68303</v>
      </c>
      <c r="N24" s="542">
        <v>3</v>
      </c>
      <c r="O24" s="542">
        <v>0</v>
      </c>
      <c r="P24" s="542">
        <v>13168</v>
      </c>
      <c r="Q24" s="542">
        <v>13168</v>
      </c>
      <c r="R24" s="542">
        <v>0</v>
      </c>
      <c r="S24" s="542">
        <v>0</v>
      </c>
      <c r="T24" s="541" t="s">
        <v>169</v>
      </c>
      <c r="U24" s="1230" t="s">
        <v>169</v>
      </c>
      <c r="V24" s="540">
        <v>70539</v>
      </c>
      <c r="W24" s="540">
        <v>70523</v>
      </c>
      <c r="X24" s="539">
        <v>16</v>
      </c>
      <c r="Y24" s="538">
        <v>0</v>
      </c>
      <c r="Z24" s="540">
        <v>14163</v>
      </c>
      <c r="AA24" s="540">
        <v>14160</v>
      </c>
      <c r="AB24" s="539">
        <v>3</v>
      </c>
      <c r="AC24" s="538">
        <v>0</v>
      </c>
      <c r="AD24" s="1231" t="s">
        <v>39</v>
      </c>
    </row>
    <row r="25" spans="1:30" s="404" customFormat="1" ht="20.25" customHeight="1">
      <c r="A25" s="5" t="s">
        <v>39</v>
      </c>
      <c r="B25" s="542">
        <v>66489</v>
      </c>
      <c r="C25" s="542">
        <v>66427</v>
      </c>
      <c r="D25" s="396">
        <v>62</v>
      </c>
      <c r="E25" s="495">
        <f t="shared" si="0"/>
        <v>9.3248507271879555E-2</v>
      </c>
      <c r="F25" s="542">
        <v>13272</v>
      </c>
      <c r="G25" s="542">
        <v>13258</v>
      </c>
      <c r="H25" s="396">
        <v>14</v>
      </c>
      <c r="I25" s="494">
        <v>0.1</v>
      </c>
      <c r="J25" s="543" t="s">
        <v>169</v>
      </c>
      <c r="K25" s="5" t="s">
        <v>1052</v>
      </c>
      <c r="L25" s="542">
        <v>72799</v>
      </c>
      <c r="M25" s="542">
        <v>72796</v>
      </c>
      <c r="N25" s="542">
        <v>3</v>
      </c>
      <c r="O25" s="542">
        <v>0</v>
      </c>
      <c r="P25" s="542">
        <v>13272</v>
      </c>
      <c r="Q25" s="542">
        <v>13258</v>
      </c>
      <c r="R25" s="542">
        <v>14</v>
      </c>
      <c r="S25" s="542">
        <v>0.1</v>
      </c>
      <c r="T25" s="541" t="s">
        <v>156</v>
      </c>
      <c r="U25" s="1230" t="s">
        <v>156</v>
      </c>
      <c r="V25" s="540">
        <v>72437</v>
      </c>
      <c r="W25" s="540">
        <v>72417</v>
      </c>
      <c r="X25" s="539">
        <v>20</v>
      </c>
      <c r="Y25" s="538">
        <v>0</v>
      </c>
      <c r="Z25" s="540">
        <v>14830</v>
      </c>
      <c r="AA25" s="540">
        <v>14818</v>
      </c>
      <c r="AB25" s="539">
        <v>12</v>
      </c>
      <c r="AC25" s="538">
        <v>0.1</v>
      </c>
      <c r="AD25" s="1231" t="s">
        <v>28</v>
      </c>
    </row>
    <row r="26" spans="1:30" s="404" customFormat="1" ht="20.25" customHeight="1">
      <c r="A26" s="5" t="s">
        <v>28</v>
      </c>
      <c r="B26" s="542">
        <v>71764</v>
      </c>
      <c r="C26" s="542">
        <v>71695</v>
      </c>
      <c r="D26" s="396">
        <v>69</v>
      </c>
      <c r="E26" s="495">
        <f t="shared" si="0"/>
        <v>9.6148486706426617E-2</v>
      </c>
      <c r="F26" s="542">
        <v>4487</v>
      </c>
      <c r="G26" s="542">
        <v>4300</v>
      </c>
      <c r="H26" s="396">
        <v>186</v>
      </c>
      <c r="I26" s="494">
        <v>4.2</v>
      </c>
      <c r="J26" s="543" t="s">
        <v>156</v>
      </c>
      <c r="K26" s="5" t="s">
        <v>1051</v>
      </c>
      <c r="L26" s="542">
        <v>26315</v>
      </c>
      <c r="M26" s="542">
        <v>26265</v>
      </c>
      <c r="N26" s="542">
        <v>50</v>
      </c>
      <c r="O26" s="542">
        <v>0.2</v>
      </c>
      <c r="P26" s="542">
        <v>4487</v>
      </c>
      <c r="Q26" s="542">
        <v>4300</v>
      </c>
      <c r="R26" s="542">
        <v>186</v>
      </c>
      <c r="S26" s="542">
        <v>4.2</v>
      </c>
      <c r="T26" s="541" t="s">
        <v>157</v>
      </c>
      <c r="U26" s="1230" t="s">
        <v>157</v>
      </c>
      <c r="V26" s="540">
        <v>26579</v>
      </c>
      <c r="W26" s="540">
        <v>26570</v>
      </c>
      <c r="X26" s="539">
        <v>9</v>
      </c>
      <c r="Y26" s="538">
        <v>0</v>
      </c>
      <c r="Z26" s="540">
        <v>4374</v>
      </c>
      <c r="AA26" s="540">
        <v>4364</v>
      </c>
      <c r="AB26" s="539">
        <v>10</v>
      </c>
      <c r="AC26" s="538">
        <v>0.2</v>
      </c>
      <c r="AD26" s="1231" t="s">
        <v>6</v>
      </c>
    </row>
    <row r="27" spans="1:30" s="404" customFormat="1" ht="20.25" customHeight="1">
      <c r="A27" s="5" t="s">
        <v>6</v>
      </c>
      <c r="B27" s="542">
        <v>25016</v>
      </c>
      <c r="C27" s="542">
        <v>24898</v>
      </c>
      <c r="D27" s="396">
        <v>118</v>
      </c>
      <c r="E27" s="495">
        <f t="shared" si="0"/>
        <v>0.47169811320754718</v>
      </c>
      <c r="F27" s="542">
        <v>15727</v>
      </c>
      <c r="G27" s="542">
        <v>15668</v>
      </c>
      <c r="H27" s="396">
        <v>59</v>
      </c>
      <c r="I27" s="494">
        <v>0.4</v>
      </c>
      <c r="J27" s="543" t="s">
        <v>157</v>
      </c>
      <c r="K27" s="5" t="s">
        <v>1050</v>
      </c>
      <c r="L27" s="542">
        <v>108816</v>
      </c>
      <c r="M27" s="542">
        <v>108812</v>
      </c>
      <c r="N27" s="542">
        <v>4</v>
      </c>
      <c r="O27" s="542">
        <v>0</v>
      </c>
      <c r="P27" s="542">
        <v>15727</v>
      </c>
      <c r="Q27" s="542">
        <v>15668</v>
      </c>
      <c r="R27" s="542">
        <v>59</v>
      </c>
      <c r="S27" s="542">
        <v>0.4</v>
      </c>
      <c r="T27" s="541" t="s">
        <v>168</v>
      </c>
      <c r="U27" s="1230" t="s">
        <v>168</v>
      </c>
      <c r="V27" s="540">
        <v>109816</v>
      </c>
      <c r="W27" s="540">
        <v>109798</v>
      </c>
      <c r="X27" s="539">
        <v>18</v>
      </c>
      <c r="Y27" s="538">
        <v>0</v>
      </c>
      <c r="Z27" s="540">
        <v>16891</v>
      </c>
      <c r="AA27" s="540">
        <v>16891</v>
      </c>
      <c r="AB27" s="539">
        <v>0</v>
      </c>
      <c r="AC27" s="538">
        <v>0</v>
      </c>
      <c r="AD27" s="1231" t="s">
        <v>12</v>
      </c>
    </row>
    <row r="28" spans="1:30" s="404" customFormat="1" ht="20.25" customHeight="1">
      <c r="A28" s="5" t="s">
        <v>10</v>
      </c>
      <c r="B28" s="542">
        <v>2766</v>
      </c>
      <c r="C28" s="542">
        <v>2756</v>
      </c>
      <c r="D28" s="396">
        <v>10</v>
      </c>
      <c r="E28" s="495">
        <f t="shared" si="0"/>
        <v>0.36153289949385392</v>
      </c>
      <c r="F28" s="542">
        <v>470</v>
      </c>
      <c r="G28" s="542">
        <v>470</v>
      </c>
      <c r="H28" s="396">
        <v>0</v>
      </c>
      <c r="I28" s="494">
        <v>0</v>
      </c>
      <c r="J28" s="543" t="s">
        <v>179</v>
      </c>
      <c r="K28" s="5" t="s">
        <v>1049</v>
      </c>
      <c r="L28" s="542">
        <v>2847</v>
      </c>
      <c r="M28" s="542">
        <v>2846</v>
      </c>
      <c r="N28" s="542">
        <v>1</v>
      </c>
      <c r="O28" s="542">
        <v>0</v>
      </c>
      <c r="P28" s="542">
        <v>470</v>
      </c>
      <c r="Q28" s="542">
        <v>470</v>
      </c>
      <c r="R28" s="542">
        <v>0</v>
      </c>
      <c r="S28" s="542">
        <v>0</v>
      </c>
      <c r="T28" s="541" t="s">
        <v>179</v>
      </c>
      <c r="U28" s="1740" t="s">
        <v>179</v>
      </c>
      <c r="V28" s="540">
        <v>2894</v>
      </c>
      <c r="W28" s="540">
        <v>2893</v>
      </c>
      <c r="X28" s="539">
        <v>1</v>
      </c>
      <c r="Y28" s="538">
        <v>0</v>
      </c>
      <c r="Z28" s="539">
        <v>469</v>
      </c>
      <c r="AA28" s="539">
        <v>467</v>
      </c>
      <c r="AB28" s="539">
        <v>2</v>
      </c>
      <c r="AC28" s="538">
        <v>0.4</v>
      </c>
      <c r="AD28" s="630" t="s">
        <v>10</v>
      </c>
    </row>
    <row r="29" spans="1:30" s="404" customFormat="1" ht="20.25" customHeight="1">
      <c r="A29" s="5" t="s">
        <v>1048</v>
      </c>
      <c r="B29" s="542">
        <v>46</v>
      </c>
      <c r="C29" s="542">
        <v>46</v>
      </c>
      <c r="D29" s="396">
        <v>0</v>
      </c>
      <c r="E29" s="495">
        <f t="shared" si="0"/>
        <v>0</v>
      </c>
      <c r="F29" s="542">
        <v>8</v>
      </c>
      <c r="G29" s="542">
        <v>8</v>
      </c>
      <c r="H29" s="396">
        <v>0</v>
      </c>
      <c r="I29" s="494">
        <v>0</v>
      </c>
      <c r="J29" s="543" t="s">
        <v>1046</v>
      </c>
      <c r="K29" s="5" t="s">
        <v>1047</v>
      </c>
      <c r="L29" s="542">
        <v>46</v>
      </c>
      <c r="M29" s="542">
        <v>46</v>
      </c>
      <c r="N29" s="542">
        <v>0</v>
      </c>
      <c r="O29" s="542">
        <v>0</v>
      </c>
      <c r="P29" s="542">
        <v>8</v>
      </c>
      <c r="Q29" s="542">
        <v>8</v>
      </c>
      <c r="R29" s="542">
        <v>0</v>
      </c>
      <c r="S29" s="542">
        <v>0</v>
      </c>
      <c r="T29" s="541" t="s">
        <v>1046</v>
      </c>
      <c r="U29" s="1236" t="s">
        <v>1046</v>
      </c>
      <c r="V29" s="539">
        <v>56</v>
      </c>
      <c r="W29" s="539">
        <v>56</v>
      </c>
      <c r="X29" s="539">
        <v>0</v>
      </c>
      <c r="Y29" s="538">
        <v>0</v>
      </c>
      <c r="Z29" s="539">
        <v>11</v>
      </c>
      <c r="AA29" s="539">
        <v>11</v>
      </c>
      <c r="AB29" s="539">
        <v>0</v>
      </c>
      <c r="AC29" s="538">
        <v>0</v>
      </c>
      <c r="AD29" s="1237" t="s">
        <v>1045</v>
      </c>
    </row>
    <row r="30" spans="1:30" s="404" customFormat="1" ht="20.25" customHeight="1">
      <c r="A30" s="30" t="s">
        <v>1044</v>
      </c>
      <c r="B30" s="536">
        <v>339337</v>
      </c>
      <c r="C30" s="536">
        <v>338960</v>
      </c>
      <c r="D30" s="536">
        <v>417</v>
      </c>
      <c r="E30" s="495">
        <f t="shared" si="0"/>
        <v>0.1228866878648659</v>
      </c>
      <c r="F30" s="536">
        <v>53579</v>
      </c>
      <c r="G30" s="536">
        <v>53465</v>
      </c>
      <c r="H30" s="395">
        <v>114</v>
      </c>
      <c r="I30" s="495">
        <v>0.2</v>
      </c>
      <c r="J30" s="535" t="s">
        <v>1042</v>
      </c>
      <c r="K30" s="5" t="s">
        <v>1043</v>
      </c>
      <c r="L30" s="536">
        <v>344535</v>
      </c>
      <c r="M30" s="536">
        <v>344436</v>
      </c>
      <c r="N30" s="536">
        <v>99</v>
      </c>
      <c r="O30" s="536">
        <v>0</v>
      </c>
      <c r="P30" s="536">
        <v>53579</v>
      </c>
      <c r="Q30" s="536">
        <v>53465</v>
      </c>
      <c r="R30" s="536">
        <v>114</v>
      </c>
      <c r="S30" s="536">
        <v>0.2</v>
      </c>
      <c r="T30" s="528" t="s">
        <v>1042</v>
      </c>
      <c r="U30" s="1234" t="s">
        <v>1042</v>
      </c>
      <c r="V30" s="527">
        <v>350678</v>
      </c>
      <c r="W30" s="527">
        <v>350421</v>
      </c>
      <c r="X30" s="537">
        <v>258</v>
      </c>
      <c r="Y30" s="526">
        <v>0.1</v>
      </c>
      <c r="Z30" s="527">
        <v>61138</v>
      </c>
      <c r="AA30" s="527">
        <v>59781</v>
      </c>
      <c r="AB30" s="527">
        <v>1357</v>
      </c>
      <c r="AC30" s="526">
        <v>2.2000000000000002</v>
      </c>
      <c r="AD30" s="164" t="s">
        <v>324</v>
      </c>
    </row>
    <row r="31" spans="1:30" s="404" customFormat="1" ht="20.25" customHeight="1">
      <c r="A31" s="5" t="s">
        <v>22</v>
      </c>
      <c r="B31" s="542">
        <v>30061</v>
      </c>
      <c r="C31" s="542">
        <v>29825</v>
      </c>
      <c r="D31" s="396">
        <v>236</v>
      </c>
      <c r="E31" s="495">
        <f t="shared" si="0"/>
        <v>0.78507035694088689</v>
      </c>
      <c r="F31" s="542">
        <v>5835</v>
      </c>
      <c r="G31" s="542">
        <v>5789</v>
      </c>
      <c r="H31" s="396">
        <v>46</v>
      </c>
      <c r="I31" s="494">
        <v>0.8</v>
      </c>
      <c r="J31" s="543" t="s">
        <v>147</v>
      </c>
      <c r="K31" s="5" t="s">
        <v>1041</v>
      </c>
      <c r="L31" s="542">
        <v>31627</v>
      </c>
      <c r="M31" s="542">
        <v>31533</v>
      </c>
      <c r="N31" s="542">
        <v>94</v>
      </c>
      <c r="O31" s="542">
        <v>0.3</v>
      </c>
      <c r="P31" s="542">
        <v>5835</v>
      </c>
      <c r="Q31" s="542">
        <v>5789</v>
      </c>
      <c r="R31" s="542">
        <v>46</v>
      </c>
      <c r="S31" s="542">
        <v>0.8</v>
      </c>
      <c r="T31" s="541" t="s">
        <v>147</v>
      </c>
      <c r="U31" s="1230" t="s">
        <v>147</v>
      </c>
      <c r="V31" s="540">
        <v>36216</v>
      </c>
      <c r="W31" s="540">
        <v>35761</v>
      </c>
      <c r="X31" s="539">
        <v>455</v>
      </c>
      <c r="Y31" s="538">
        <v>1.3</v>
      </c>
      <c r="Z31" s="540">
        <v>7154</v>
      </c>
      <c r="AA31" s="540">
        <v>6490</v>
      </c>
      <c r="AB31" s="539">
        <v>664</v>
      </c>
      <c r="AC31" s="538">
        <v>9.3000000000000007</v>
      </c>
      <c r="AD31" s="1231" t="s">
        <v>22</v>
      </c>
    </row>
    <row r="32" spans="1:30" s="404" customFormat="1" ht="20.25" customHeight="1">
      <c r="A32" s="5" t="s">
        <v>1040</v>
      </c>
      <c r="B32" s="542">
        <v>22745</v>
      </c>
      <c r="C32" s="542">
        <v>22372</v>
      </c>
      <c r="D32" s="396">
        <v>372</v>
      </c>
      <c r="E32" s="495">
        <f t="shared" si="0"/>
        <v>1.6355242910529786</v>
      </c>
      <c r="F32" s="542">
        <v>3014</v>
      </c>
      <c r="G32" s="542">
        <v>3014</v>
      </c>
      <c r="H32" s="396">
        <v>0</v>
      </c>
      <c r="I32" s="494">
        <v>0</v>
      </c>
      <c r="J32" s="543" t="s">
        <v>1038</v>
      </c>
      <c r="K32" s="5" t="s">
        <v>1039</v>
      </c>
      <c r="L32" s="542">
        <v>22429</v>
      </c>
      <c r="M32" s="542">
        <v>22427</v>
      </c>
      <c r="N32" s="542">
        <v>2</v>
      </c>
      <c r="O32" s="542">
        <v>0</v>
      </c>
      <c r="P32" s="542">
        <v>3014</v>
      </c>
      <c r="Q32" s="542">
        <v>3014</v>
      </c>
      <c r="R32" s="542">
        <v>0</v>
      </c>
      <c r="S32" s="542">
        <v>0</v>
      </c>
      <c r="T32" s="541" t="s">
        <v>1038</v>
      </c>
      <c r="U32" s="1230" t="s">
        <v>1038</v>
      </c>
      <c r="V32" s="540">
        <v>23741</v>
      </c>
      <c r="W32" s="540">
        <v>23736</v>
      </c>
      <c r="X32" s="539">
        <v>4</v>
      </c>
      <c r="Y32" s="538">
        <v>0</v>
      </c>
      <c r="Z32" s="540">
        <v>3355</v>
      </c>
      <c r="AA32" s="540">
        <v>3338</v>
      </c>
      <c r="AB32" s="539">
        <v>17</v>
      </c>
      <c r="AC32" s="538">
        <v>0.5</v>
      </c>
      <c r="AD32" s="1231" t="s">
        <v>1037</v>
      </c>
    </row>
    <row r="33" spans="1:30" s="404" customFormat="1" ht="20.25" customHeight="1">
      <c r="A33" s="5" t="s">
        <v>27</v>
      </c>
      <c r="B33" s="542">
        <v>8737</v>
      </c>
      <c r="C33" s="542">
        <v>8490</v>
      </c>
      <c r="D33" s="396">
        <v>247</v>
      </c>
      <c r="E33" s="495">
        <f t="shared" si="0"/>
        <v>2.8270573423371865</v>
      </c>
      <c r="F33" s="542">
        <v>1396</v>
      </c>
      <c r="G33" s="542">
        <v>1389</v>
      </c>
      <c r="H33" s="396">
        <v>6</v>
      </c>
      <c r="I33" s="494">
        <v>0.5</v>
      </c>
      <c r="J33" s="543" t="s">
        <v>155</v>
      </c>
      <c r="K33" s="5" t="s">
        <v>1036</v>
      </c>
      <c r="L33" s="542">
        <v>8941</v>
      </c>
      <c r="M33" s="542">
        <v>8872</v>
      </c>
      <c r="N33" s="542">
        <v>69</v>
      </c>
      <c r="O33" s="542">
        <v>0.8</v>
      </c>
      <c r="P33" s="542">
        <v>1396</v>
      </c>
      <c r="Q33" s="542">
        <v>1389</v>
      </c>
      <c r="R33" s="542">
        <v>6</v>
      </c>
      <c r="S33" s="542">
        <v>0.5</v>
      </c>
      <c r="T33" s="541" t="s">
        <v>155</v>
      </c>
      <c r="U33" s="1230" t="s">
        <v>155</v>
      </c>
      <c r="V33" s="540">
        <v>11148</v>
      </c>
      <c r="W33" s="540">
        <v>10590</v>
      </c>
      <c r="X33" s="539">
        <v>558</v>
      </c>
      <c r="Y33" s="538">
        <v>5</v>
      </c>
      <c r="Z33" s="540">
        <v>1887</v>
      </c>
      <c r="AA33" s="540">
        <v>1611</v>
      </c>
      <c r="AB33" s="539">
        <v>276</v>
      </c>
      <c r="AC33" s="538">
        <v>14.6</v>
      </c>
      <c r="AD33" s="1231" t="s">
        <v>27</v>
      </c>
    </row>
    <row r="34" spans="1:30" s="404" customFormat="1" ht="20.25" customHeight="1">
      <c r="A34" s="5" t="s">
        <v>9</v>
      </c>
      <c r="B34" s="542">
        <v>32145</v>
      </c>
      <c r="C34" s="542">
        <v>32115</v>
      </c>
      <c r="D34" s="396">
        <v>30</v>
      </c>
      <c r="E34" s="495">
        <f t="shared" si="0"/>
        <v>9.3327111525898274E-2</v>
      </c>
      <c r="F34" s="542">
        <v>5292</v>
      </c>
      <c r="G34" s="542">
        <v>5292</v>
      </c>
      <c r="H34" s="396">
        <v>0</v>
      </c>
      <c r="I34" s="494">
        <v>0</v>
      </c>
      <c r="J34" s="543" t="s">
        <v>1034</v>
      </c>
      <c r="K34" s="5" t="s">
        <v>1035</v>
      </c>
      <c r="L34" s="542">
        <v>29692</v>
      </c>
      <c r="M34" s="542">
        <v>29692</v>
      </c>
      <c r="N34" s="542">
        <v>0</v>
      </c>
      <c r="O34" s="542">
        <v>0</v>
      </c>
      <c r="P34" s="542">
        <v>5292</v>
      </c>
      <c r="Q34" s="542">
        <v>5292</v>
      </c>
      <c r="R34" s="542">
        <v>0</v>
      </c>
      <c r="S34" s="542">
        <v>0</v>
      </c>
      <c r="T34" s="541" t="s">
        <v>1034</v>
      </c>
      <c r="U34" s="1230" t="s">
        <v>1034</v>
      </c>
      <c r="V34" s="540">
        <v>38339</v>
      </c>
      <c r="W34" s="540">
        <v>38332</v>
      </c>
      <c r="X34" s="539">
        <v>7</v>
      </c>
      <c r="Y34" s="538">
        <v>0</v>
      </c>
      <c r="Z34" s="540">
        <v>5643</v>
      </c>
      <c r="AA34" s="540">
        <v>5643</v>
      </c>
      <c r="AB34" s="539">
        <v>0</v>
      </c>
      <c r="AC34" s="538">
        <v>0</v>
      </c>
      <c r="AD34" s="1231" t="s">
        <v>9</v>
      </c>
    </row>
    <row r="35" spans="1:30" s="404" customFormat="1" ht="20.25" customHeight="1" thickBot="1">
      <c r="A35" s="5" t="s">
        <v>37</v>
      </c>
      <c r="B35" s="542">
        <v>51471</v>
      </c>
      <c r="C35" s="542">
        <v>51287</v>
      </c>
      <c r="D35" s="396">
        <v>184</v>
      </c>
      <c r="E35" s="495">
        <f t="shared" si="0"/>
        <v>0.35748285442287892</v>
      </c>
      <c r="F35" s="542">
        <v>9263</v>
      </c>
      <c r="G35" s="542">
        <v>9088</v>
      </c>
      <c r="H35" s="396">
        <v>175</v>
      </c>
      <c r="I35" s="494">
        <v>1.9</v>
      </c>
      <c r="J35" s="543" t="s">
        <v>173</v>
      </c>
      <c r="K35" s="5" t="s">
        <v>1033</v>
      </c>
      <c r="L35" s="542">
        <v>52948</v>
      </c>
      <c r="M35" s="542">
        <v>52824</v>
      </c>
      <c r="N35" s="542">
        <v>124</v>
      </c>
      <c r="O35" s="542">
        <v>0.2</v>
      </c>
      <c r="P35" s="542">
        <v>9263</v>
      </c>
      <c r="Q35" s="542">
        <v>9088</v>
      </c>
      <c r="R35" s="542">
        <v>175</v>
      </c>
      <c r="S35" s="542">
        <v>1.9</v>
      </c>
      <c r="T35" s="541" t="s">
        <v>173</v>
      </c>
      <c r="U35" s="1235" t="s">
        <v>173</v>
      </c>
      <c r="V35" s="1581">
        <v>54001</v>
      </c>
      <c r="W35" s="1581">
        <v>53945</v>
      </c>
      <c r="X35" s="1582">
        <v>57</v>
      </c>
      <c r="Y35" s="1583">
        <v>0.1</v>
      </c>
      <c r="Z35" s="1581">
        <v>9089</v>
      </c>
      <c r="AA35" s="1581">
        <v>9087</v>
      </c>
      <c r="AB35" s="1582">
        <v>2</v>
      </c>
      <c r="AC35" s="1583">
        <v>0</v>
      </c>
      <c r="AD35" s="1584" t="s">
        <v>37</v>
      </c>
    </row>
    <row r="36" spans="1:30" s="404" customFormat="1" ht="20.25" customHeight="1" thickTop="1">
      <c r="A36" s="5" t="s">
        <v>20</v>
      </c>
      <c r="B36" s="542">
        <v>527</v>
      </c>
      <c r="C36" s="542">
        <v>527</v>
      </c>
      <c r="D36" s="396">
        <v>0</v>
      </c>
      <c r="E36" s="495">
        <f t="shared" si="0"/>
        <v>0</v>
      </c>
      <c r="F36" s="542">
        <v>115</v>
      </c>
      <c r="G36" s="542">
        <v>115</v>
      </c>
      <c r="H36" s="396">
        <v>0</v>
      </c>
      <c r="I36" s="494">
        <v>0</v>
      </c>
      <c r="J36" s="543" t="s">
        <v>167</v>
      </c>
      <c r="K36" s="5" t="s">
        <v>1032</v>
      </c>
      <c r="L36" s="542">
        <v>554</v>
      </c>
      <c r="M36" s="542">
        <v>554</v>
      </c>
      <c r="N36" s="542">
        <v>0</v>
      </c>
      <c r="O36" s="542">
        <v>0</v>
      </c>
      <c r="P36" s="542">
        <v>115</v>
      </c>
      <c r="Q36" s="542">
        <v>115</v>
      </c>
      <c r="R36" s="542">
        <v>0</v>
      </c>
      <c r="S36" s="542">
        <v>0</v>
      </c>
      <c r="T36" s="541" t="s">
        <v>167</v>
      </c>
      <c r="U36" s="1236" t="s">
        <v>167</v>
      </c>
      <c r="V36" s="1579">
        <v>610</v>
      </c>
      <c r="W36" s="1579">
        <v>609</v>
      </c>
      <c r="X36" s="1579">
        <v>0</v>
      </c>
      <c r="Y36" s="1580">
        <v>0</v>
      </c>
      <c r="Z36" s="1579">
        <v>133</v>
      </c>
      <c r="AA36" s="1579">
        <v>133</v>
      </c>
      <c r="AB36" s="1579">
        <v>0</v>
      </c>
      <c r="AC36" s="1580">
        <v>0</v>
      </c>
      <c r="AD36" s="1237" t="s">
        <v>20</v>
      </c>
    </row>
    <row r="37" spans="1:30" s="404" customFormat="1" ht="33.75" customHeight="1">
      <c r="A37" s="12" t="s">
        <v>1031</v>
      </c>
      <c r="B37" s="542">
        <v>346</v>
      </c>
      <c r="C37" s="542">
        <v>323</v>
      </c>
      <c r="D37" s="396">
        <v>23</v>
      </c>
      <c r="E37" s="495">
        <f t="shared" si="0"/>
        <v>6.6473988439306355</v>
      </c>
      <c r="F37" s="542">
        <v>58</v>
      </c>
      <c r="G37" s="542">
        <v>54</v>
      </c>
      <c r="H37" s="396">
        <v>4</v>
      </c>
      <c r="I37" s="494">
        <v>6.9</v>
      </c>
      <c r="J37" s="551" t="s">
        <v>1029</v>
      </c>
      <c r="K37" s="5" t="s">
        <v>1030</v>
      </c>
      <c r="L37" s="542">
        <v>346</v>
      </c>
      <c r="M37" s="542">
        <v>323</v>
      </c>
      <c r="N37" s="542">
        <v>23</v>
      </c>
      <c r="O37" s="542">
        <v>6.7</v>
      </c>
      <c r="P37" s="542">
        <v>58</v>
      </c>
      <c r="Q37" s="542">
        <v>54</v>
      </c>
      <c r="R37" s="542">
        <v>4</v>
      </c>
      <c r="S37" s="542">
        <v>6.9</v>
      </c>
      <c r="T37" s="550" t="s">
        <v>1029</v>
      </c>
      <c r="U37" s="1232" t="s">
        <v>1029</v>
      </c>
      <c r="V37" s="539">
        <v>335</v>
      </c>
      <c r="W37" s="539">
        <v>327</v>
      </c>
      <c r="X37" s="539">
        <v>8</v>
      </c>
      <c r="Y37" s="538">
        <v>2.2999999999999998</v>
      </c>
      <c r="Z37" s="539">
        <v>60</v>
      </c>
      <c r="AA37" s="539">
        <v>60</v>
      </c>
      <c r="AB37" s="539">
        <v>0</v>
      </c>
      <c r="AC37" s="538">
        <v>0</v>
      </c>
      <c r="AD37" s="1231" t="s">
        <v>1028</v>
      </c>
    </row>
    <row r="38" spans="1:30" s="404" customFormat="1" ht="20.25" customHeight="1">
      <c r="A38" s="30" t="s">
        <v>1027</v>
      </c>
      <c r="B38" s="536">
        <f>SUM(B31:B36)</f>
        <v>145686</v>
      </c>
      <c r="C38" s="536">
        <f>SUM(C31:C36)</f>
        <v>144616</v>
      </c>
      <c r="D38" s="536">
        <v>1070</v>
      </c>
      <c r="E38" s="495">
        <f t="shared" si="0"/>
        <v>0.73445629641832433</v>
      </c>
      <c r="F38" s="536">
        <v>23421</v>
      </c>
      <c r="G38" s="536">
        <v>23398</v>
      </c>
      <c r="H38" s="395">
        <v>22</v>
      </c>
      <c r="I38" s="495">
        <v>0.1</v>
      </c>
      <c r="J38" s="535" t="s">
        <v>1025</v>
      </c>
      <c r="K38" s="5" t="s">
        <v>1026</v>
      </c>
      <c r="L38" s="536">
        <v>146191</v>
      </c>
      <c r="M38" s="536">
        <v>145902</v>
      </c>
      <c r="N38" s="536">
        <v>289</v>
      </c>
      <c r="O38" s="536">
        <v>0.2</v>
      </c>
      <c r="P38" s="536">
        <v>23421</v>
      </c>
      <c r="Q38" s="536">
        <v>23398</v>
      </c>
      <c r="R38" s="536">
        <v>22</v>
      </c>
      <c r="S38" s="536">
        <v>0.1</v>
      </c>
      <c r="T38" s="528" t="s">
        <v>1025</v>
      </c>
      <c r="U38" s="1234" t="s">
        <v>1025</v>
      </c>
      <c r="V38" s="527">
        <v>164054</v>
      </c>
      <c r="W38" s="527">
        <v>162973</v>
      </c>
      <c r="X38" s="527">
        <v>1081</v>
      </c>
      <c r="Y38" s="526">
        <v>0.7</v>
      </c>
      <c r="Z38" s="527">
        <v>26019</v>
      </c>
      <c r="AA38" s="527">
        <v>25145</v>
      </c>
      <c r="AB38" s="537">
        <v>874</v>
      </c>
      <c r="AC38" s="526">
        <v>3.4</v>
      </c>
      <c r="AD38" s="164" t="s">
        <v>314</v>
      </c>
    </row>
    <row r="39" spans="1:30" s="404" customFormat="1" ht="20.25" customHeight="1">
      <c r="A39" s="5" t="s">
        <v>1024</v>
      </c>
      <c r="B39" s="542">
        <v>869</v>
      </c>
      <c r="C39" s="542">
        <v>859</v>
      </c>
      <c r="D39" s="396">
        <v>9</v>
      </c>
      <c r="E39" s="495">
        <f t="shared" si="0"/>
        <v>1.0356731875719218</v>
      </c>
      <c r="F39" s="542">
        <v>158</v>
      </c>
      <c r="G39" s="542">
        <v>152</v>
      </c>
      <c r="H39" s="396">
        <v>6</v>
      </c>
      <c r="I39" s="494">
        <v>3.5</v>
      </c>
      <c r="J39" s="543" t="s">
        <v>1022</v>
      </c>
      <c r="K39" s="5" t="s">
        <v>1023</v>
      </c>
      <c r="L39" s="542">
        <v>753</v>
      </c>
      <c r="M39" s="542">
        <v>749</v>
      </c>
      <c r="N39" s="542">
        <v>4</v>
      </c>
      <c r="O39" s="542">
        <v>0.5</v>
      </c>
      <c r="P39" s="542">
        <v>158</v>
      </c>
      <c r="Q39" s="542">
        <v>152</v>
      </c>
      <c r="R39" s="542">
        <v>6</v>
      </c>
      <c r="S39" s="542">
        <v>3.5</v>
      </c>
      <c r="T39" s="541" t="s">
        <v>1022</v>
      </c>
      <c r="U39" s="1230" t="s">
        <v>1022</v>
      </c>
      <c r="V39" s="539">
        <v>875</v>
      </c>
      <c r="W39" s="539">
        <v>874</v>
      </c>
      <c r="X39" s="539">
        <v>1</v>
      </c>
      <c r="Y39" s="538">
        <v>0.1</v>
      </c>
      <c r="Z39" s="539">
        <v>197</v>
      </c>
      <c r="AA39" s="539">
        <v>168</v>
      </c>
      <c r="AB39" s="539">
        <v>29</v>
      </c>
      <c r="AC39" s="538">
        <v>14.6</v>
      </c>
      <c r="AD39" s="1231" t="s">
        <v>15</v>
      </c>
    </row>
    <row r="40" spans="1:30" s="404" customFormat="1" ht="20.25" customHeight="1">
      <c r="A40" s="5" t="s">
        <v>21</v>
      </c>
      <c r="B40" s="542">
        <v>9566</v>
      </c>
      <c r="C40" s="542">
        <v>9238</v>
      </c>
      <c r="D40" s="396">
        <v>328</v>
      </c>
      <c r="E40" s="495">
        <f t="shared" si="0"/>
        <v>3.4288103700606314</v>
      </c>
      <c r="F40" s="542">
        <v>2193</v>
      </c>
      <c r="G40" s="542">
        <v>1956</v>
      </c>
      <c r="H40" s="396">
        <v>237</v>
      </c>
      <c r="I40" s="494">
        <v>10.8</v>
      </c>
      <c r="J40" s="543" t="s">
        <v>146</v>
      </c>
      <c r="K40" s="5" t="s">
        <v>1021</v>
      </c>
      <c r="L40" s="542">
        <v>9804</v>
      </c>
      <c r="M40" s="542">
        <v>9288</v>
      </c>
      <c r="N40" s="542">
        <v>516</v>
      </c>
      <c r="O40" s="542">
        <v>5.3</v>
      </c>
      <c r="P40" s="542">
        <v>2193</v>
      </c>
      <c r="Q40" s="542">
        <v>1956</v>
      </c>
      <c r="R40" s="542">
        <v>237</v>
      </c>
      <c r="S40" s="542">
        <v>10.8</v>
      </c>
      <c r="T40" s="541" t="s">
        <v>146</v>
      </c>
      <c r="U40" s="1230" t="s">
        <v>146</v>
      </c>
      <c r="V40" s="540">
        <v>10844</v>
      </c>
      <c r="W40" s="540">
        <v>10825</v>
      </c>
      <c r="X40" s="539">
        <v>19</v>
      </c>
      <c r="Y40" s="538">
        <v>0.2</v>
      </c>
      <c r="Z40" s="540">
        <v>2126</v>
      </c>
      <c r="AA40" s="540">
        <v>2121</v>
      </c>
      <c r="AB40" s="539">
        <v>5</v>
      </c>
      <c r="AC40" s="538">
        <v>0.2</v>
      </c>
      <c r="AD40" s="1231" t="s">
        <v>21</v>
      </c>
    </row>
    <row r="41" spans="1:30" s="404" customFormat="1" ht="20.25" customHeight="1">
      <c r="A41" s="5" t="s">
        <v>19</v>
      </c>
      <c r="B41" s="542">
        <v>905</v>
      </c>
      <c r="C41" s="542">
        <v>895</v>
      </c>
      <c r="D41" s="396">
        <v>10</v>
      </c>
      <c r="E41" s="495">
        <f t="shared" si="0"/>
        <v>1.1049723756906078</v>
      </c>
      <c r="F41" s="542">
        <v>226</v>
      </c>
      <c r="G41" s="542">
        <v>218</v>
      </c>
      <c r="H41" s="396">
        <v>8</v>
      </c>
      <c r="I41" s="494">
        <v>3.6</v>
      </c>
      <c r="J41" s="543" t="s">
        <v>160</v>
      </c>
      <c r="K41" s="5" t="s">
        <v>1020</v>
      </c>
      <c r="L41" s="542">
        <v>924</v>
      </c>
      <c r="M41" s="542">
        <v>917</v>
      </c>
      <c r="N41" s="542">
        <v>6</v>
      </c>
      <c r="O41" s="542">
        <v>0.7</v>
      </c>
      <c r="P41" s="542">
        <v>226</v>
      </c>
      <c r="Q41" s="542">
        <v>218</v>
      </c>
      <c r="R41" s="542">
        <v>8</v>
      </c>
      <c r="S41" s="542">
        <v>3.6</v>
      </c>
      <c r="T41" s="541" t="s">
        <v>160</v>
      </c>
      <c r="U41" s="1230" t="s">
        <v>160</v>
      </c>
      <c r="V41" s="540">
        <v>1019</v>
      </c>
      <c r="W41" s="540">
        <v>1018</v>
      </c>
      <c r="X41" s="539">
        <v>1</v>
      </c>
      <c r="Y41" s="538">
        <v>0.1</v>
      </c>
      <c r="Z41" s="539">
        <v>258</v>
      </c>
      <c r="AA41" s="539">
        <v>258</v>
      </c>
      <c r="AB41" s="539">
        <v>0</v>
      </c>
      <c r="AC41" s="538">
        <v>0</v>
      </c>
      <c r="AD41" s="1231" t="s">
        <v>19</v>
      </c>
    </row>
    <row r="42" spans="1:30" s="404" customFormat="1" ht="20.25" customHeight="1">
      <c r="A42" s="5" t="s">
        <v>8</v>
      </c>
      <c r="B42" s="542">
        <v>1957</v>
      </c>
      <c r="C42" s="542">
        <v>1956</v>
      </c>
      <c r="D42" s="396">
        <v>2</v>
      </c>
      <c r="E42" s="495">
        <f t="shared" si="0"/>
        <v>0.10219724067450178</v>
      </c>
      <c r="F42" s="542">
        <v>371</v>
      </c>
      <c r="G42" s="542">
        <v>371</v>
      </c>
      <c r="H42" s="396">
        <v>0</v>
      </c>
      <c r="I42" s="494">
        <v>0</v>
      </c>
      <c r="J42" s="543" t="s">
        <v>161</v>
      </c>
      <c r="K42" s="5" t="s">
        <v>1019</v>
      </c>
      <c r="L42" s="542">
        <v>2112</v>
      </c>
      <c r="M42" s="542">
        <v>2064</v>
      </c>
      <c r="N42" s="542">
        <v>48</v>
      </c>
      <c r="O42" s="542">
        <v>2.2999999999999998</v>
      </c>
      <c r="P42" s="542">
        <v>371</v>
      </c>
      <c r="Q42" s="542">
        <v>371</v>
      </c>
      <c r="R42" s="542">
        <v>0</v>
      </c>
      <c r="S42" s="542">
        <v>0</v>
      </c>
      <c r="T42" s="541" t="s">
        <v>161</v>
      </c>
      <c r="U42" s="1230" t="s">
        <v>161</v>
      </c>
      <c r="V42" s="540">
        <v>2256</v>
      </c>
      <c r="W42" s="540">
        <v>2243</v>
      </c>
      <c r="X42" s="539">
        <v>13</v>
      </c>
      <c r="Y42" s="538">
        <v>0.6</v>
      </c>
      <c r="Z42" s="539">
        <v>408</v>
      </c>
      <c r="AA42" s="539">
        <v>408</v>
      </c>
      <c r="AB42" s="539">
        <v>0</v>
      </c>
      <c r="AC42" s="538">
        <v>0</v>
      </c>
      <c r="AD42" s="1231" t="s">
        <v>8</v>
      </c>
    </row>
    <row r="43" spans="1:30" s="404" customFormat="1" ht="20.25" customHeight="1">
      <c r="A43" s="5" t="s">
        <v>30</v>
      </c>
      <c r="B43" s="542">
        <v>643</v>
      </c>
      <c r="C43" s="542">
        <v>635</v>
      </c>
      <c r="D43" s="396">
        <v>8</v>
      </c>
      <c r="E43" s="495">
        <f t="shared" si="0"/>
        <v>1.2441679626749611</v>
      </c>
      <c r="F43" s="542">
        <v>133</v>
      </c>
      <c r="G43" s="542">
        <v>132</v>
      </c>
      <c r="H43" s="396">
        <v>0</v>
      </c>
      <c r="I43" s="494">
        <v>0.1</v>
      </c>
      <c r="J43" s="543" t="s">
        <v>162</v>
      </c>
      <c r="K43" s="5" t="s">
        <v>1018</v>
      </c>
      <c r="L43" s="542">
        <v>647</v>
      </c>
      <c r="M43" s="542">
        <v>643</v>
      </c>
      <c r="N43" s="542">
        <v>4</v>
      </c>
      <c r="O43" s="542">
        <v>0.7</v>
      </c>
      <c r="P43" s="542">
        <v>133</v>
      </c>
      <c r="Q43" s="542">
        <v>132</v>
      </c>
      <c r="R43" s="542">
        <v>0</v>
      </c>
      <c r="S43" s="542">
        <v>0.1</v>
      </c>
      <c r="T43" s="541" t="s">
        <v>162</v>
      </c>
      <c r="U43" s="1230" t="s">
        <v>162</v>
      </c>
      <c r="V43" s="539">
        <v>656</v>
      </c>
      <c r="W43" s="539">
        <v>644</v>
      </c>
      <c r="X43" s="539">
        <v>12</v>
      </c>
      <c r="Y43" s="538">
        <v>1.8</v>
      </c>
      <c r="Z43" s="539">
        <v>169</v>
      </c>
      <c r="AA43" s="539">
        <v>156</v>
      </c>
      <c r="AB43" s="539">
        <v>13</v>
      </c>
      <c r="AC43" s="538">
        <v>7.6</v>
      </c>
      <c r="AD43" s="1231" t="s">
        <v>30</v>
      </c>
    </row>
    <row r="44" spans="1:30" s="404" customFormat="1" ht="20.25" customHeight="1">
      <c r="A44" s="118" t="s">
        <v>841</v>
      </c>
      <c r="B44" s="548">
        <v>888</v>
      </c>
      <c r="C44" s="548">
        <v>795</v>
      </c>
      <c r="D44" s="547">
        <v>93</v>
      </c>
      <c r="E44" s="549">
        <f t="shared" si="0"/>
        <v>10.472972972972974</v>
      </c>
      <c r="F44" s="548">
        <v>186</v>
      </c>
      <c r="G44" s="548">
        <v>169</v>
      </c>
      <c r="H44" s="547">
        <v>17</v>
      </c>
      <c r="I44" s="546">
        <v>9.3000000000000007</v>
      </c>
      <c r="J44" s="545" t="s">
        <v>1016</v>
      </c>
      <c r="K44" s="5" t="s">
        <v>1017</v>
      </c>
      <c r="L44" s="542">
        <v>814</v>
      </c>
      <c r="M44" s="542">
        <v>809</v>
      </c>
      <c r="N44" s="542">
        <v>5</v>
      </c>
      <c r="O44" s="542">
        <v>0.7</v>
      </c>
      <c r="P44" s="542">
        <v>186</v>
      </c>
      <c r="Q44" s="542">
        <v>169</v>
      </c>
      <c r="R44" s="542">
        <v>17</v>
      </c>
      <c r="S44" s="542">
        <v>9.3000000000000007</v>
      </c>
      <c r="T44" s="544" t="s">
        <v>1016</v>
      </c>
      <c r="U44" s="1238" t="s">
        <v>1016</v>
      </c>
      <c r="V44" s="539">
        <v>852</v>
      </c>
      <c r="W44" s="539">
        <v>851</v>
      </c>
      <c r="X44" s="539">
        <v>1</v>
      </c>
      <c r="Y44" s="538">
        <v>0.1</v>
      </c>
      <c r="Z44" s="539">
        <v>173</v>
      </c>
      <c r="AA44" s="539">
        <v>153</v>
      </c>
      <c r="AB44" s="539">
        <v>20</v>
      </c>
      <c r="AC44" s="538">
        <v>11.7</v>
      </c>
      <c r="AD44" s="1231" t="s">
        <v>31</v>
      </c>
    </row>
    <row r="45" spans="1:30" s="404" customFormat="1" ht="20.25" customHeight="1">
      <c r="A45" s="5" t="s">
        <v>1015</v>
      </c>
      <c r="B45" s="542">
        <v>1863</v>
      </c>
      <c r="C45" s="542">
        <v>1841</v>
      </c>
      <c r="D45" s="396">
        <v>22</v>
      </c>
      <c r="E45" s="495">
        <f t="shared" si="0"/>
        <v>1.1808910359634996</v>
      </c>
      <c r="F45" s="542">
        <v>320</v>
      </c>
      <c r="G45" s="542">
        <v>311</v>
      </c>
      <c r="H45" s="396">
        <v>9</v>
      </c>
      <c r="I45" s="494">
        <v>2.7</v>
      </c>
      <c r="J45" s="543" t="s">
        <v>1013</v>
      </c>
      <c r="K45" s="5" t="s">
        <v>1014</v>
      </c>
      <c r="L45" s="542">
        <v>1538</v>
      </c>
      <c r="M45" s="542">
        <v>1515</v>
      </c>
      <c r="N45" s="542">
        <v>23</v>
      </c>
      <c r="O45" s="542">
        <v>1.5</v>
      </c>
      <c r="P45" s="542">
        <v>320</v>
      </c>
      <c r="Q45" s="542">
        <v>311</v>
      </c>
      <c r="R45" s="542">
        <v>9</v>
      </c>
      <c r="S45" s="542">
        <v>2.7</v>
      </c>
      <c r="T45" s="541" t="s">
        <v>1013</v>
      </c>
      <c r="U45" s="1230" t="s">
        <v>1013</v>
      </c>
      <c r="V45" s="540">
        <v>1578</v>
      </c>
      <c r="W45" s="540">
        <v>1578</v>
      </c>
      <c r="X45" s="539">
        <v>0</v>
      </c>
      <c r="Y45" s="538">
        <v>0</v>
      </c>
      <c r="Z45" s="539">
        <v>328</v>
      </c>
      <c r="AA45" s="539">
        <v>327</v>
      </c>
      <c r="AB45" s="539">
        <v>1</v>
      </c>
      <c r="AC45" s="538">
        <v>0.3</v>
      </c>
      <c r="AD45" s="1231" t="s">
        <v>1012</v>
      </c>
    </row>
    <row r="46" spans="1:30" s="404" customFormat="1" ht="20.25" customHeight="1">
      <c r="A46" s="30" t="s">
        <v>1011</v>
      </c>
      <c r="B46" s="536">
        <f>SUM(B39:B45)</f>
        <v>16691</v>
      </c>
      <c r="C46" s="536">
        <f>SUM(C39:C45)-1</f>
        <v>16218</v>
      </c>
      <c r="D46" s="395">
        <f>B46-C46-1</f>
        <v>472</v>
      </c>
      <c r="E46" s="495">
        <f t="shared" si="0"/>
        <v>2.8278713078904798</v>
      </c>
      <c r="F46" s="536">
        <v>2989</v>
      </c>
      <c r="G46" s="536">
        <v>2878</v>
      </c>
      <c r="H46" s="395">
        <v>111</v>
      </c>
      <c r="I46" s="495">
        <v>3.7</v>
      </c>
      <c r="J46" s="535" t="s">
        <v>1009</v>
      </c>
      <c r="K46" s="5" t="s">
        <v>1010</v>
      </c>
      <c r="L46" s="536">
        <v>16591</v>
      </c>
      <c r="M46" s="536">
        <v>15984</v>
      </c>
      <c r="N46" s="536">
        <v>607</v>
      </c>
      <c r="O46" s="536">
        <v>3.7</v>
      </c>
      <c r="P46" s="536">
        <v>2989</v>
      </c>
      <c r="Q46" s="536">
        <v>2878</v>
      </c>
      <c r="R46" s="536">
        <v>111</v>
      </c>
      <c r="S46" s="536">
        <v>3.7</v>
      </c>
      <c r="T46" s="528" t="s">
        <v>1009</v>
      </c>
      <c r="U46" s="1234" t="s">
        <v>1009</v>
      </c>
      <c r="V46" s="527">
        <v>18079</v>
      </c>
      <c r="W46" s="527">
        <v>18033</v>
      </c>
      <c r="X46" s="537">
        <v>47</v>
      </c>
      <c r="Y46" s="526">
        <v>0.3</v>
      </c>
      <c r="Z46" s="527">
        <v>3427</v>
      </c>
      <c r="AA46" s="527">
        <v>3360</v>
      </c>
      <c r="AB46" s="537">
        <v>67</v>
      </c>
      <c r="AC46" s="526">
        <v>1.9</v>
      </c>
      <c r="AD46" s="164" t="s">
        <v>1008</v>
      </c>
    </row>
    <row r="47" spans="1:30" s="404" customFormat="1" ht="20.25" customHeight="1">
      <c r="A47" s="30" t="s">
        <v>1007</v>
      </c>
      <c r="B47" s="536">
        <v>1274595</v>
      </c>
      <c r="C47" s="536">
        <v>1267526</v>
      </c>
      <c r="D47" s="395">
        <v>7070</v>
      </c>
      <c r="E47" s="495">
        <f t="shared" si="0"/>
        <v>0.55468599829749843</v>
      </c>
      <c r="F47" s="536">
        <v>183804</v>
      </c>
      <c r="G47" s="536">
        <v>182533</v>
      </c>
      <c r="H47" s="395">
        <v>1271</v>
      </c>
      <c r="I47" s="495">
        <v>0.7</v>
      </c>
      <c r="J47" s="535" t="s">
        <v>1005</v>
      </c>
      <c r="K47" s="534" t="s">
        <v>1006</v>
      </c>
      <c r="L47" s="530">
        <v>1291010</v>
      </c>
      <c r="M47" s="530">
        <v>1284444</v>
      </c>
      <c r="N47" s="530">
        <v>6566</v>
      </c>
      <c r="O47" s="533">
        <v>0.5</v>
      </c>
      <c r="P47" s="532">
        <v>183804</v>
      </c>
      <c r="Q47" s="531">
        <v>182533</v>
      </c>
      <c r="R47" s="530">
        <v>1271</v>
      </c>
      <c r="S47" s="529">
        <v>0.7</v>
      </c>
      <c r="T47" s="528" t="s">
        <v>1005</v>
      </c>
      <c r="U47" s="1234" t="s">
        <v>1005</v>
      </c>
      <c r="V47" s="527">
        <v>1379812</v>
      </c>
      <c r="W47" s="527">
        <v>1374024</v>
      </c>
      <c r="X47" s="527">
        <v>5787</v>
      </c>
      <c r="Y47" s="526">
        <v>0.4</v>
      </c>
      <c r="Z47" s="527">
        <v>203014</v>
      </c>
      <c r="AA47" s="527">
        <v>200539</v>
      </c>
      <c r="AB47" s="527">
        <v>2475</v>
      </c>
      <c r="AC47" s="526">
        <v>1.2</v>
      </c>
      <c r="AD47" s="1239" t="s">
        <v>868</v>
      </c>
    </row>
    <row r="48" spans="1:30" s="404" customFormat="1" ht="16.5" customHeight="1">
      <c r="A48" s="477" t="s">
        <v>1004</v>
      </c>
      <c r="C48" s="477" t="s">
        <v>1003</v>
      </c>
      <c r="K48" s="477" t="s">
        <v>1004</v>
      </c>
      <c r="M48" s="477" t="s">
        <v>1003</v>
      </c>
      <c r="U48" s="1131" t="s">
        <v>1002</v>
      </c>
      <c r="W48" s="477"/>
      <c r="AD48" s="414"/>
    </row>
    <row r="49" spans="1:30" s="404" customFormat="1" ht="16.5" customHeight="1">
      <c r="A49" s="524" t="s">
        <v>1001</v>
      </c>
      <c r="B49" s="525" t="s">
        <v>1000</v>
      </c>
      <c r="C49" s="524"/>
      <c r="E49" s="524"/>
      <c r="F49" s="524"/>
      <c r="G49" s="524"/>
      <c r="H49" s="2020" t="s">
        <v>998</v>
      </c>
      <c r="I49" s="2020"/>
      <c r="J49" s="2020"/>
      <c r="K49" s="524" t="s">
        <v>1001</v>
      </c>
      <c r="L49" s="525" t="s">
        <v>1000</v>
      </c>
      <c r="M49" s="524"/>
      <c r="N49" s="404" t="s">
        <v>999</v>
      </c>
      <c r="O49" s="524"/>
      <c r="P49" s="524"/>
      <c r="Q49" s="524"/>
      <c r="R49" s="2020" t="s">
        <v>998</v>
      </c>
      <c r="S49" s="2020"/>
      <c r="T49" s="2020"/>
      <c r="U49" s="1132" t="s">
        <v>1001</v>
      </c>
      <c r="V49" s="525" t="s">
        <v>1000</v>
      </c>
      <c r="W49" s="524"/>
      <c r="X49" s="404" t="s">
        <v>999</v>
      </c>
      <c r="Y49" s="524"/>
      <c r="Z49" s="524"/>
      <c r="AA49" s="524"/>
      <c r="AB49" s="2020" t="s">
        <v>998</v>
      </c>
      <c r="AC49" s="2020"/>
      <c r="AD49" s="2029"/>
    </row>
    <row r="50" spans="1:30" s="404" customFormat="1" ht="30.75" customHeight="1" thickBot="1">
      <c r="A50" s="2021" t="s">
        <v>997</v>
      </c>
      <c r="B50" s="2021"/>
      <c r="C50" s="2021"/>
      <c r="D50" s="2021"/>
      <c r="E50" s="2021"/>
      <c r="F50" s="2021"/>
      <c r="G50" s="2021"/>
      <c r="H50" s="2021"/>
      <c r="I50" s="2021"/>
      <c r="J50" s="2021"/>
      <c r="K50" s="2021" t="s">
        <v>997</v>
      </c>
      <c r="L50" s="2021"/>
      <c r="M50" s="2021"/>
      <c r="N50" s="2021"/>
      <c r="O50" s="2021"/>
      <c r="P50" s="2021"/>
      <c r="Q50" s="2021"/>
      <c r="R50" s="2021"/>
      <c r="S50" s="2021"/>
      <c r="T50" s="2021"/>
      <c r="U50" s="2030" t="s">
        <v>997</v>
      </c>
      <c r="V50" s="2031"/>
      <c r="W50" s="2031"/>
      <c r="X50" s="2031"/>
      <c r="Y50" s="2031"/>
      <c r="Z50" s="2031"/>
      <c r="AA50" s="2031"/>
      <c r="AB50" s="2031"/>
      <c r="AC50" s="2031"/>
      <c r="AD50" s="2032"/>
    </row>
    <row r="51" spans="1:30" ht="15.75" thickTop="1">
      <c r="A51" s="518" t="s">
        <v>996</v>
      </c>
      <c r="K51" s="518" t="s">
        <v>996</v>
      </c>
      <c r="U51" s="523" t="s">
        <v>996</v>
      </c>
      <c r="X51" s="518" t="s">
        <v>993</v>
      </c>
      <c r="AD51" s="522"/>
    </row>
    <row r="52" spans="1:30" ht="15.75" thickBot="1">
      <c r="A52" s="518" t="s">
        <v>995</v>
      </c>
      <c r="K52" s="518" t="s">
        <v>994</v>
      </c>
      <c r="U52" s="521" t="s">
        <v>994</v>
      </c>
      <c r="V52" s="520"/>
      <c r="W52" s="520"/>
      <c r="X52" s="520"/>
      <c r="Y52" s="520"/>
      <c r="Z52" s="520"/>
      <c r="AA52" s="520"/>
      <c r="AB52" s="520"/>
      <c r="AC52" s="520"/>
      <c r="AD52" s="519"/>
    </row>
    <row r="53" spans="1:30" ht="15.75" thickTop="1">
      <c r="K53" s="518" t="s">
        <v>993</v>
      </c>
    </row>
  </sheetData>
  <mergeCells count="36">
    <mergeCell ref="AB3:AC3"/>
    <mergeCell ref="U3:U4"/>
    <mergeCell ref="AB49:AD49"/>
    <mergeCell ref="U50:AD50"/>
    <mergeCell ref="U1:AD1"/>
    <mergeCell ref="Z2:AD2"/>
    <mergeCell ref="AD3:AD4"/>
    <mergeCell ref="V3:V4"/>
    <mergeCell ref="W3:W4"/>
    <mergeCell ref="X3:Y3"/>
    <mergeCell ref="Z3:Z4"/>
    <mergeCell ref="AA3:AA4"/>
    <mergeCell ref="A1:J1"/>
    <mergeCell ref="F2:J2"/>
    <mergeCell ref="J3:J4"/>
    <mergeCell ref="A50:J50"/>
    <mergeCell ref="A3:A4"/>
    <mergeCell ref="B3:B4"/>
    <mergeCell ref="C3:C4"/>
    <mergeCell ref="D3:E3"/>
    <mergeCell ref="F3:F4"/>
    <mergeCell ref="G3:G4"/>
    <mergeCell ref="H3:I3"/>
    <mergeCell ref="H49:J49"/>
    <mergeCell ref="R49:T49"/>
    <mergeCell ref="K50:T50"/>
    <mergeCell ref="K1:T1"/>
    <mergeCell ref="P2:T2"/>
    <mergeCell ref="K3:K4"/>
    <mergeCell ref="L3:L4"/>
    <mergeCell ref="M3:M4"/>
    <mergeCell ref="N3:O3"/>
    <mergeCell ref="P3:P4"/>
    <mergeCell ref="Q3:Q4"/>
    <mergeCell ref="R3:S3"/>
    <mergeCell ref="T3:T4"/>
  </mergeCells>
  <conditionalFormatting sqref="V28:AD46 A5:AD27 K28:S46 T28:U47 AF5:XFD47 A28:J47">
    <cfRule type="expression" dxfId="96" priority="1">
      <formula>MOD(ROW(),3)=1</formula>
    </cfRule>
  </conditionalFormatting>
  <printOptions horizontalCentered="1"/>
  <pageMargins left="0.23622047244094491" right="0.23622047244094491" top="0.74803149606299213" bottom="0.74803149606299213" header="0.31496062992125984" footer="0.31496062992125984"/>
  <pageSetup paperSize="9" firstPageNumber="90" fitToHeight="0" pageOrder="overThenDown" orientation="landscape" r:id="rId1"/>
  <rowBreaks count="1" manualBreakCount="1">
    <brk id="19" min="20" max="29" man="1"/>
  </rowBreaks>
  <colBreaks count="1" manualBreakCount="1">
    <brk id="20" max="53" man="1"/>
  </col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F7964-27D4-450A-9607-E60536C1F0ED}">
  <sheetPr>
    <pageSetUpPr fitToPage="1"/>
  </sheetPr>
  <dimension ref="A1:W65"/>
  <sheetViews>
    <sheetView view="pageBreakPreview" topLeftCell="L34" zoomScaleSheetLayoutView="100" workbookViewId="0">
      <selection activeCell="S17" sqref="S17"/>
    </sheetView>
  </sheetViews>
  <sheetFormatPr defaultColWidth="9" defaultRowHeight="15"/>
  <cols>
    <col min="1" max="1" width="9" style="555" hidden="1" customWidth="1"/>
    <col min="2" max="2" width="26.42578125" style="555" hidden="1" customWidth="1"/>
    <col min="3" max="7" width="11.7109375" style="555" hidden="1" customWidth="1"/>
    <col min="8" max="8" width="14.42578125" style="555" hidden="1" customWidth="1"/>
    <col min="9" max="9" width="16" style="555" hidden="1" customWidth="1"/>
    <col min="10" max="10" width="11.7109375" style="555" hidden="1" customWidth="1"/>
    <col min="11" max="11" width="23.7109375" style="555" hidden="1" customWidth="1"/>
    <col min="12" max="12" width="8.7109375" style="557" customWidth="1"/>
    <col min="13" max="13" width="20.7109375" style="555" customWidth="1"/>
    <col min="14" max="14" width="10.7109375" style="555" customWidth="1"/>
    <col min="15" max="15" width="12" style="555" customWidth="1"/>
    <col min="16" max="22" width="10.7109375" style="555" customWidth="1"/>
    <col min="23" max="23" width="20.7109375" style="556" customWidth="1"/>
    <col min="24" max="16384" width="9" style="555"/>
  </cols>
  <sheetData>
    <row r="1" spans="1:23" s="558" customFormat="1" ht="36.75" customHeight="1" thickTop="1">
      <c r="A1" s="2044" t="s">
        <v>1185</v>
      </c>
      <c r="B1" s="2044"/>
      <c r="C1" s="2044"/>
      <c r="D1" s="2044"/>
      <c r="E1" s="2044"/>
      <c r="F1" s="2044"/>
      <c r="G1" s="2044"/>
      <c r="H1" s="2044"/>
      <c r="I1" s="2044"/>
      <c r="J1" s="2044"/>
      <c r="K1" s="596"/>
      <c r="L1" s="2045" t="s">
        <v>2585</v>
      </c>
      <c r="M1" s="2046"/>
      <c r="N1" s="2046"/>
      <c r="O1" s="2046"/>
      <c r="P1" s="2046"/>
      <c r="Q1" s="2046"/>
      <c r="R1" s="2046"/>
      <c r="S1" s="2046"/>
      <c r="T1" s="2046"/>
      <c r="U1" s="2046"/>
      <c r="V1" s="2046"/>
      <c r="W1" s="2047"/>
    </row>
    <row r="2" spans="1:23" s="558" customFormat="1" ht="23.25" customHeight="1">
      <c r="A2" s="595" t="s">
        <v>1182</v>
      </c>
      <c r="B2" s="595"/>
      <c r="C2" s="595"/>
      <c r="D2" s="595"/>
      <c r="E2" s="595"/>
      <c r="F2" s="2048" t="s">
        <v>1184</v>
      </c>
      <c r="G2" s="2048"/>
      <c r="H2" s="2048"/>
      <c r="I2" s="595"/>
      <c r="J2" s="1106" t="s">
        <v>1183</v>
      </c>
      <c r="K2" s="1105"/>
      <c r="L2" s="594" t="s">
        <v>1182</v>
      </c>
      <c r="M2" s="593"/>
      <c r="N2" s="593"/>
      <c r="O2" s="593"/>
      <c r="P2" s="593"/>
      <c r="Q2" s="593"/>
      <c r="R2" s="2049" t="s">
        <v>1181</v>
      </c>
      <c r="S2" s="2049"/>
      <c r="T2" s="2049"/>
      <c r="U2" s="593"/>
      <c r="V2" s="2050" t="s">
        <v>1180</v>
      </c>
      <c r="W2" s="2051"/>
    </row>
    <row r="3" spans="1:23" s="592" customFormat="1" ht="48" customHeight="1">
      <c r="A3" s="2052" t="s">
        <v>520</v>
      </c>
      <c r="B3" s="2053" t="s">
        <v>1166</v>
      </c>
      <c r="C3" s="2052" t="s">
        <v>1179</v>
      </c>
      <c r="D3" s="2053"/>
      <c r="E3" s="2053"/>
      <c r="F3" s="2052" t="s">
        <v>1178</v>
      </c>
      <c r="G3" s="2052" t="s">
        <v>1177</v>
      </c>
      <c r="H3" s="2052" t="s">
        <v>1176</v>
      </c>
      <c r="I3" s="2052" t="s">
        <v>1175</v>
      </c>
      <c r="J3" s="2052" t="s">
        <v>1174</v>
      </c>
      <c r="K3" s="2054" t="s">
        <v>1173</v>
      </c>
      <c r="L3" s="2042" t="s">
        <v>520</v>
      </c>
      <c r="M3" s="2043" t="s">
        <v>1173</v>
      </c>
      <c r="N3" s="2039" t="s">
        <v>1172</v>
      </c>
      <c r="O3" s="2039"/>
      <c r="P3" s="2040"/>
      <c r="Q3" s="2040"/>
      <c r="R3" s="2041" t="s">
        <v>1171</v>
      </c>
      <c r="S3" s="2041" t="s">
        <v>1170</v>
      </c>
      <c r="T3" s="2041" t="s">
        <v>1169</v>
      </c>
      <c r="U3" s="2039" t="s">
        <v>1168</v>
      </c>
      <c r="V3" s="2041" t="s">
        <v>1167</v>
      </c>
      <c r="W3" s="2038" t="s">
        <v>1166</v>
      </c>
    </row>
    <row r="4" spans="1:23" s="592" customFormat="1" ht="73.5" customHeight="1">
      <c r="A4" s="2052"/>
      <c r="B4" s="2053"/>
      <c r="C4" s="1104" t="s">
        <v>1165</v>
      </c>
      <c r="D4" s="1104" t="s">
        <v>1164</v>
      </c>
      <c r="E4" s="1104" t="s">
        <v>1163</v>
      </c>
      <c r="F4" s="2052"/>
      <c r="G4" s="2052"/>
      <c r="H4" s="2052"/>
      <c r="I4" s="2052"/>
      <c r="J4" s="2052"/>
      <c r="K4" s="2054"/>
      <c r="L4" s="2042"/>
      <c r="M4" s="2043"/>
      <c r="N4" s="1133" t="s">
        <v>1162</v>
      </c>
      <c r="O4" s="1133" t="s">
        <v>2607</v>
      </c>
      <c r="P4" s="1133" t="s">
        <v>1161</v>
      </c>
      <c r="Q4" s="1133" t="s">
        <v>1160</v>
      </c>
      <c r="R4" s="2041"/>
      <c r="S4" s="2041"/>
      <c r="T4" s="2041"/>
      <c r="U4" s="2039"/>
      <c r="V4" s="2041"/>
      <c r="W4" s="2038"/>
    </row>
    <row r="5" spans="1:23" s="558" customFormat="1" ht="18" customHeight="1">
      <c r="A5" s="577" t="s">
        <v>1159</v>
      </c>
      <c r="B5" s="591" t="s">
        <v>309</v>
      </c>
      <c r="C5" s="576">
        <f>SUM(C6:C16)</f>
        <v>53439.79</v>
      </c>
      <c r="D5" s="576">
        <f t="shared" ref="D5:J5" si="0">SUM(D6:D14)+D16+D15</f>
        <v>5781.26</v>
      </c>
      <c r="E5" s="576">
        <f t="shared" si="0"/>
        <v>0</v>
      </c>
      <c r="F5" s="576">
        <f t="shared" si="0"/>
        <v>59471.05</v>
      </c>
      <c r="G5" s="576">
        <f t="shared" si="0"/>
        <v>1620</v>
      </c>
      <c r="H5" s="576">
        <f t="shared" si="0"/>
        <v>20085.77</v>
      </c>
      <c r="I5" s="576">
        <f t="shared" si="0"/>
        <v>16868.14</v>
      </c>
      <c r="J5" s="576">
        <f t="shared" si="0"/>
        <v>98044.959999999992</v>
      </c>
      <c r="K5" s="590" t="s">
        <v>310</v>
      </c>
      <c r="L5" s="1240" t="s">
        <v>1159</v>
      </c>
      <c r="M5" s="574" t="s">
        <v>310</v>
      </c>
      <c r="N5" s="573">
        <f>SUM(N6:N16)</f>
        <v>56137.01</v>
      </c>
      <c r="O5" s="573">
        <f>SUM(O6:O16)</f>
        <v>1580</v>
      </c>
      <c r="P5" s="573">
        <f t="shared" ref="P5:V5" si="1">SUM(P6:P14)+P16+P15</f>
        <v>5781.26</v>
      </c>
      <c r="Q5" s="573">
        <f t="shared" si="1"/>
        <v>0</v>
      </c>
      <c r="R5" s="573">
        <f t="shared" si="1"/>
        <v>63498.270000000004</v>
      </c>
      <c r="S5" s="573">
        <f t="shared" si="1"/>
        <v>1620</v>
      </c>
      <c r="T5" s="573">
        <f t="shared" si="1"/>
        <v>20631.77</v>
      </c>
      <c r="U5" s="573">
        <f t="shared" si="1"/>
        <v>27070.261999999999</v>
      </c>
      <c r="V5" s="573">
        <f t="shared" si="1"/>
        <v>112820.302</v>
      </c>
      <c r="W5" s="1241" t="s">
        <v>309</v>
      </c>
    </row>
    <row r="6" spans="1:23" s="558" customFormat="1">
      <c r="A6" s="578">
        <v>1</v>
      </c>
      <c r="B6" s="589" t="s">
        <v>38</v>
      </c>
      <c r="C6" s="582">
        <v>0</v>
      </c>
      <c r="D6" s="582">
        <v>0</v>
      </c>
      <c r="E6" s="582">
        <v>0</v>
      </c>
      <c r="F6" s="582">
        <f t="shared" ref="F6:F11" si="2">C6+D6+E6</f>
        <v>0</v>
      </c>
      <c r="G6" s="582">
        <v>0</v>
      </c>
      <c r="H6" s="582">
        <v>0</v>
      </c>
      <c r="I6" s="582">
        <v>0</v>
      </c>
      <c r="J6" s="582">
        <f t="shared" ref="J6:J16" si="3">G6+H6+I6+F6</f>
        <v>0</v>
      </c>
      <c r="K6" s="588" t="s">
        <v>1158</v>
      </c>
      <c r="L6" s="1242">
        <v>1</v>
      </c>
      <c r="M6" s="580" t="s">
        <v>1158</v>
      </c>
      <c r="N6" s="579">
        <v>0</v>
      </c>
      <c r="O6" s="579">
        <v>0</v>
      </c>
      <c r="P6" s="579">
        <v>0</v>
      </c>
      <c r="Q6" s="579">
        <v>0</v>
      </c>
      <c r="R6" s="579">
        <f t="shared" ref="R6:R11" si="4">N6+P6+Q6</f>
        <v>0</v>
      </c>
      <c r="S6" s="579">
        <v>0</v>
      </c>
      <c r="T6" s="579">
        <v>0</v>
      </c>
      <c r="U6" s="579">
        <v>0</v>
      </c>
      <c r="V6" s="579">
        <f t="shared" ref="V6:V16" si="5">S6+T6+U6+R6</f>
        <v>0</v>
      </c>
      <c r="W6" s="1243" t="s">
        <v>38</v>
      </c>
    </row>
    <row r="7" spans="1:23" s="558" customFormat="1">
      <c r="A7" s="578">
        <v>1</v>
      </c>
      <c r="B7" s="589" t="s">
        <v>24</v>
      </c>
      <c r="C7" s="582">
        <v>0</v>
      </c>
      <c r="D7" s="582">
        <v>1800.4</v>
      </c>
      <c r="E7" s="582">
        <v>0</v>
      </c>
      <c r="F7" s="582">
        <f t="shared" si="2"/>
        <v>1800.4</v>
      </c>
      <c r="G7" s="582">
        <v>0</v>
      </c>
      <c r="H7" s="582">
        <v>0</v>
      </c>
      <c r="I7" s="582">
        <v>0</v>
      </c>
      <c r="J7" s="582">
        <f t="shared" si="3"/>
        <v>1800.4</v>
      </c>
      <c r="K7" s="588" t="s">
        <v>1157</v>
      </c>
      <c r="L7" s="1242">
        <v>1</v>
      </c>
      <c r="M7" s="580" t="s">
        <v>1157</v>
      </c>
      <c r="N7" s="579">
        <v>0</v>
      </c>
      <c r="O7" s="579">
        <v>0</v>
      </c>
      <c r="P7" s="579">
        <v>1800.4</v>
      </c>
      <c r="Q7" s="579">
        <v>0</v>
      </c>
      <c r="R7" s="579">
        <f t="shared" si="4"/>
        <v>1800.4</v>
      </c>
      <c r="S7" s="579">
        <v>0</v>
      </c>
      <c r="T7" s="579">
        <v>0</v>
      </c>
      <c r="U7" s="579">
        <v>0</v>
      </c>
      <c r="V7" s="579">
        <f t="shared" si="5"/>
        <v>1800.4</v>
      </c>
      <c r="W7" s="1243" t="s">
        <v>24</v>
      </c>
    </row>
    <row r="8" spans="1:23" s="558" customFormat="1">
      <c r="A8" s="578">
        <v>3</v>
      </c>
      <c r="B8" s="589" t="s">
        <v>25</v>
      </c>
      <c r="C8" s="582">
        <v>2510</v>
      </c>
      <c r="D8" s="582">
        <v>150</v>
      </c>
      <c r="E8" s="582">
        <v>0</v>
      </c>
      <c r="F8" s="582">
        <f t="shared" si="2"/>
        <v>2660</v>
      </c>
      <c r="G8" s="582">
        <v>0</v>
      </c>
      <c r="H8" s="582">
        <v>200</v>
      </c>
      <c r="I8" s="582">
        <v>69.3</v>
      </c>
      <c r="J8" s="582">
        <f t="shared" si="3"/>
        <v>2929.3</v>
      </c>
      <c r="K8" s="588" t="s">
        <v>1156</v>
      </c>
      <c r="L8" s="1242">
        <v>3</v>
      </c>
      <c r="M8" s="580" t="s">
        <v>1156</v>
      </c>
      <c r="N8" s="579">
        <v>2510</v>
      </c>
      <c r="O8" s="579">
        <v>0</v>
      </c>
      <c r="P8" s="579">
        <v>150</v>
      </c>
      <c r="Q8" s="579">
        <v>0</v>
      </c>
      <c r="R8" s="579">
        <f t="shared" si="4"/>
        <v>2660</v>
      </c>
      <c r="S8" s="579">
        <v>0</v>
      </c>
      <c r="T8" s="579">
        <v>200</v>
      </c>
      <c r="U8" s="579">
        <v>69.3</v>
      </c>
      <c r="V8" s="579">
        <f t="shared" si="5"/>
        <v>2929.3</v>
      </c>
      <c r="W8" s="1243" t="s">
        <v>25</v>
      </c>
    </row>
    <row r="9" spans="1:23" s="558" customFormat="1">
      <c r="A9" s="578">
        <v>4</v>
      </c>
      <c r="B9" s="589" t="s">
        <v>5</v>
      </c>
      <c r="C9" s="582">
        <v>0</v>
      </c>
      <c r="D9" s="582">
        <v>0</v>
      </c>
      <c r="E9" s="582">
        <v>0</v>
      </c>
      <c r="F9" s="582">
        <f t="shared" si="2"/>
        <v>0</v>
      </c>
      <c r="G9" s="582">
        <v>0</v>
      </c>
      <c r="H9" s="582">
        <v>694.6</v>
      </c>
      <c r="I9" s="582">
        <v>256.61</v>
      </c>
      <c r="J9" s="582">
        <f t="shared" si="3"/>
        <v>951.21</v>
      </c>
      <c r="K9" s="588" t="s">
        <v>1155</v>
      </c>
      <c r="L9" s="1242">
        <v>4</v>
      </c>
      <c r="M9" s="580" t="s">
        <v>1155</v>
      </c>
      <c r="N9" s="579">
        <v>0</v>
      </c>
      <c r="O9" s="579">
        <v>0</v>
      </c>
      <c r="P9" s="579">
        <v>0</v>
      </c>
      <c r="Q9" s="579">
        <v>0</v>
      </c>
      <c r="R9" s="579">
        <f t="shared" si="4"/>
        <v>0</v>
      </c>
      <c r="S9" s="579">
        <v>0</v>
      </c>
      <c r="T9" s="579">
        <v>805.6</v>
      </c>
      <c r="U9" s="579">
        <v>256.61</v>
      </c>
      <c r="V9" s="579">
        <f t="shared" si="5"/>
        <v>1062.21</v>
      </c>
      <c r="W9" s="1243" t="s">
        <v>5</v>
      </c>
    </row>
    <row r="10" spans="1:23" s="558" customFormat="1">
      <c r="A10" s="578">
        <v>5</v>
      </c>
      <c r="B10" s="589" t="s">
        <v>1153</v>
      </c>
      <c r="C10" s="582">
        <v>0</v>
      </c>
      <c r="D10" s="582">
        <v>175</v>
      </c>
      <c r="E10" s="582">
        <v>0</v>
      </c>
      <c r="F10" s="582">
        <f t="shared" si="2"/>
        <v>175</v>
      </c>
      <c r="G10" s="582">
        <v>0</v>
      </c>
      <c r="H10" s="582">
        <v>1230</v>
      </c>
      <c r="I10" s="582">
        <v>130.47999999999999</v>
      </c>
      <c r="J10" s="582">
        <f t="shared" si="3"/>
        <v>1535.48</v>
      </c>
      <c r="K10" s="588" t="s">
        <v>1154</v>
      </c>
      <c r="L10" s="1242">
        <v>5</v>
      </c>
      <c r="M10" s="580" t="s">
        <v>2606</v>
      </c>
      <c r="N10" s="579">
        <v>0</v>
      </c>
      <c r="O10" s="579">
        <v>0</v>
      </c>
      <c r="P10" s="579">
        <v>175</v>
      </c>
      <c r="Q10" s="579">
        <v>0</v>
      </c>
      <c r="R10" s="579">
        <f t="shared" si="4"/>
        <v>175</v>
      </c>
      <c r="S10" s="579">
        <v>0</v>
      </c>
      <c r="T10" s="579">
        <v>1230</v>
      </c>
      <c r="U10" s="579">
        <v>136.38200000000001</v>
      </c>
      <c r="V10" s="579">
        <f t="shared" si="5"/>
        <v>1541.3820000000001</v>
      </c>
      <c r="W10" s="1243" t="s">
        <v>1153</v>
      </c>
    </row>
    <row r="11" spans="1:23" s="558" customFormat="1">
      <c r="A11" s="578">
        <v>6</v>
      </c>
      <c r="B11" s="589" t="s">
        <v>32</v>
      </c>
      <c r="C11" s="582">
        <v>1760</v>
      </c>
      <c r="D11" s="582">
        <v>150</v>
      </c>
      <c r="E11" s="582">
        <v>0</v>
      </c>
      <c r="F11" s="582">
        <f t="shared" si="2"/>
        <v>1910</v>
      </c>
      <c r="G11" s="582">
        <v>0</v>
      </c>
      <c r="H11" s="582">
        <v>1243.4000000000001</v>
      </c>
      <c r="I11" s="582">
        <v>127.8</v>
      </c>
      <c r="J11" s="582">
        <f t="shared" si="3"/>
        <v>3281.2</v>
      </c>
      <c r="K11" s="588" t="s">
        <v>1152</v>
      </c>
      <c r="L11" s="1242">
        <v>6</v>
      </c>
      <c r="M11" s="580" t="s">
        <v>1152</v>
      </c>
      <c r="N11" s="579">
        <v>1760</v>
      </c>
      <c r="O11" s="579">
        <v>0</v>
      </c>
      <c r="P11" s="579">
        <v>150</v>
      </c>
      <c r="Q11" s="579">
        <v>0</v>
      </c>
      <c r="R11" s="579">
        <f t="shared" si="4"/>
        <v>1910</v>
      </c>
      <c r="S11" s="579">
        <v>0</v>
      </c>
      <c r="T11" s="579">
        <v>1243.4000000000001</v>
      </c>
      <c r="U11" s="579">
        <v>127.8</v>
      </c>
      <c r="V11" s="579">
        <f t="shared" si="5"/>
        <v>3281.2</v>
      </c>
      <c r="W11" s="1243" t="s">
        <v>32</v>
      </c>
    </row>
    <row r="12" spans="1:23" s="558" customFormat="1">
      <c r="A12" s="578">
        <v>7</v>
      </c>
      <c r="B12" s="589" t="s">
        <v>33</v>
      </c>
      <c r="C12" s="582">
        <v>6920</v>
      </c>
      <c r="D12" s="582">
        <v>603.79999999999995</v>
      </c>
      <c r="E12" s="582">
        <v>0</v>
      </c>
      <c r="F12" s="582">
        <v>7773.8</v>
      </c>
      <c r="G12" s="582">
        <v>0</v>
      </c>
      <c r="H12" s="582">
        <v>433</v>
      </c>
      <c r="I12" s="582">
        <v>23.85</v>
      </c>
      <c r="J12" s="582">
        <f t="shared" si="3"/>
        <v>8230.65</v>
      </c>
      <c r="K12" s="588" t="s">
        <v>872</v>
      </c>
      <c r="L12" s="1242">
        <v>7</v>
      </c>
      <c r="M12" s="580" t="s">
        <v>872</v>
      </c>
      <c r="N12" s="579">
        <v>7580</v>
      </c>
      <c r="O12" s="579">
        <v>250</v>
      </c>
      <c r="P12" s="579">
        <v>603.79999999999995</v>
      </c>
      <c r="Q12" s="579">
        <v>0</v>
      </c>
      <c r="R12" s="579">
        <v>8433.7999999999993</v>
      </c>
      <c r="S12" s="579">
        <v>0</v>
      </c>
      <c r="T12" s="579">
        <v>433</v>
      </c>
      <c r="U12" s="579">
        <v>23.85</v>
      </c>
      <c r="V12" s="579">
        <f t="shared" si="5"/>
        <v>8890.65</v>
      </c>
      <c r="W12" s="1243" t="s">
        <v>33</v>
      </c>
    </row>
    <row r="13" spans="1:23" s="558" customFormat="1">
      <c r="A13" s="578">
        <v>8</v>
      </c>
      <c r="B13" s="589" t="s">
        <v>35</v>
      </c>
      <c r="C13" s="582">
        <v>5469</v>
      </c>
      <c r="D13" s="582">
        <v>0</v>
      </c>
      <c r="E13" s="582">
        <v>0</v>
      </c>
      <c r="F13" s="582">
        <f>C13+D13+E13</f>
        <v>5469</v>
      </c>
      <c r="G13" s="582">
        <v>0</v>
      </c>
      <c r="H13" s="582">
        <v>724.1</v>
      </c>
      <c r="I13" s="582">
        <v>25.1</v>
      </c>
      <c r="J13" s="582">
        <f t="shared" si="3"/>
        <v>6218.2</v>
      </c>
      <c r="K13" s="588" t="s">
        <v>907</v>
      </c>
      <c r="L13" s="1242">
        <v>8</v>
      </c>
      <c r="M13" s="580" t="s">
        <v>907</v>
      </c>
      <c r="N13" s="579">
        <v>6129</v>
      </c>
      <c r="O13" s="579">
        <v>0</v>
      </c>
      <c r="P13" s="579">
        <v>0</v>
      </c>
      <c r="Q13" s="579">
        <v>0</v>
      </c>
      <c r="R13" s="579">
        <f>N13+P13+Q13</f>
        <v>6129</v>
      </c>
      <c r="S13" s="579">
        <v>0</v>
      </c>
      <c r="T13" s="579">
        <v>724.1</v>
      </c>
      <c r="U13" s="579">
        <v>49.1</v>
      </c>
      <c r="V13" s="579">
        <f t="shared" si="5"/>
        <v>6902.2</v>
      </c>
      <c r="W13" s="1243" t="s">
        <v>35</v>
      </c>
    </row>
    <row r="14" spans="1:23" s="558" customFormat="1">
      <c r="A14" s="578">
        <v>9</v>
      </c>
      <c r="B14" s="589" t="s">
        <v>36</v>
      </c>
      <c r="C14" s="582">
        <v>0</v>
      </c>
      <c r="D14" s="582">
        <v>0</v>
      </c>
      <c r="E14" s="582">
        <v>0</v>
      </c>
      <c r="F14" s="582">
        <f>C14+D14+E14</f>
        <v>0</v>
      </c>
      <c r="G14" s="582">
        <v>0</v>
      </c>
      <c r="H14" s="582">
        <v>1252.1500000000001</v>
      </c>
      <c r="I14" s="582">
        <v>67.87</v>
      </c>
      <c r="J14" s="582">
        <f t="shared" si="3"/>
        <v>1320.02</v>
      </c>
      <c r="K14" s="588" t="s">
        <v>1151</v>
      </c>
      <c r="L14" s="1242">
        <v>9</v>
      </c>
      <c r="M14" s="580" t="s">
        <v>1151</v>
      </c>
      <c r="N14" s="579">
        <v>0</v>
      </c>
      <c r="O14" s="579">
        <v>0</v>
      </c>
      <c r="P14" s="579">
        <v>0</v>
      </c>
      <c r="Q14" s="579">
        <v>0</v>
      </c>
      <c r="R14" s="579">
        <f>N14+P14+Q14</f>
        <v>0</v>
      </c>
      <c r="S14" s="579">
        <v>0</v>
      </c>
      <c r="T14" s="579">
        <v>1252.1500000000001</v>
      </c>
      <c r="U14" s="579">
        <v>72.37</v>
      </c>
      <c r="V14" s="579">
        <f t="shared" si="5"/>
        <v>1324.52</v>
      </c>
      <c r="W14" s="1243" t="s">
        <v>36</v>
      </c>
    </row>
    <row r="15" spans="1:23" s="558" customFormat="1">
      <c r="A15" s="578">
        <v>10</v>
      </c>
      <c r="B15" s="589" t="s">
        <v>1125</v>
      </c>
      <c r="C15" s="582">
        <v>22425.83</v>
      </c>
      <c r="D15" s="582">
        <v>558</v>
      </c>
      <c r="E15" s="582">
        <v>0</v>
      </c>
      <c r="F15" s="582">
        <f>C15+D15+E15</f>
        <v>22983.83</v>
      </c>
      <c r="G15" s="582">
        <v>0</v>
      </c>
      <c r="H15" s="582">
        <v>2817</v>
      </c>
      <c r="I15" s="582">
        <v>15788.13</v>
      </c>
      <c r="J15" s="582">
        <f t="shared" si="3"/>
        <v>41588.959999999999</v>
      </c>
      <c r="K15" s="588" t="s">
        <v>1135</v>
      </c>
      <c r="L15" s="1242">
        <v>10</v>
      </c>
      <c r="M15" s="580" t="s">
        <v>1135</v>
      </c>
      <c r="N15" s="579">
        <v>22425.83</v>
      </c>
      <c r="O15" s="579">
        <v>1080</v>
      </c>
      <c r="P15" s="579">
        <v>558</v>
      </c>
      <c r="Q15" s="579">
        <v>0</v>
      </c>
      <c r="R15" s="579">
        <v>24063.83</v>
      </c>
      <c r="S15" s="579">
        <v>0</v>
      </c>
      <c r="T15" s="579">
        <v>3241</v>
      </c>
      <c r="U15" s="579">
        <v>25955.85</v>
      </c>
      <c r="V15" s="579">
        <f t="shared" si="5"/>
        <v>53260.68</v>
      </c>
      <c r="W15" s="1243" t="s">
        <v>1125</v>
      </c>
    </row>
    <row r="16" spans="1:23" s="558" customFormat="1">
      <c r="A16" s="578">
        <v>11</v>
      </c>
      <c r="B16" s="589" t="s">
        <v>1123</v>
      </c>
      <c r="C16" s="582">
        <v>14354.96</v>
      </c>
      <c r="D16" s="582">
        <v>2344.06</v>
      </c>
      <c r="E16" s="582">
        <v>0</v>
      </c>
      <c r="F16" s="582">
        <f>C16+D16+E16</f>
        <v>16699.02</v>
      </c>
      <c r="G16" s="582">
        <v>1620</v>
      </c>
      <c r="H16" s="582">
        <v>11491.52</v>
      </c>
      <c r="I16" s="582">
        <v>379</v>
      </c>
      <c r="J16" s="582">
        <f t="shared" si="3"/>
        <v>30189.54</v>
      </c>
      <c r="K16" s="588" t="s">
        <v>1134</v>
      </c>
      <c r="L16" s="1242">
        <v>11</v>
      </c>
      <c r="M16" s="580" t="s">
        <v>1134</v>
      </c>
      <c r="N16" s="579">
        <v>15732.18</v>
      </c>
      <c r="O16" s="579">
        <v>250</v>
      </c>
      <c r="P16" s="579">
        <v>2344.06</v>
      </c>
      <c r="Q16" s="579">
        <v>0</v>
      </c>
      <c r="R16" s="579">
        <v>18326.240000000002</v>
      </c>
      <c r="S16" s="579">
        <v>1620</v>
      </c>
      <c r="T16" s="579">
        <v>11502.52</v>
      </c>
      <c r="U16" s="579">
        <v>379</v>
      </c>
      <c r="V16" s="579">
        <f t="shared" si="5"/>
        <v>31827.760000000002</v>
      </c>
      <c r="W16" s="1243" t="s">
        <v>1123</v>
      </c>
    </row>
    <row r="17" spans="1:23" s="558" customFormat="1">
      <c r="A17" s="577" t="s">
        <v>1150</v>
      </c>
      <c r="B17" s="591" t="s">
        <v>317</v>
      </c>
      <c r="C17" s="576">
        <f t="shared" ref="C17:I17" si="6">SUM(C18:C24)+C25+C26</f>
        <v>72935.12</v>
      </c>
      <c r="D17" s="576">
        <f t="shared" si="6"/>
        <v>10806.49</v>
      </c>
      <c r="E17" s="576">
        <f t="shared" si="6"/>
        <v>0</v>
      </c>
      <c r="F17" s="576">
        <f t="shared" si="6"/>
        <v>83981.61</v>
      </c>
      <c r="G17" s="576">
        <f t="shared" si="6"/>
        <v>1840</v>
      </c>
      <c r="H17" s="576">
        <f t="shared" si="6"/>
        <v>7622.5</v>
      </c>
      <c r="I17" s="576">
        <f t="shared" si="6"/>
        <v>25873.89</v>
      </c>
      <c r="J17" s="576">
        <f>SUM(J18:J24)+J25+J26+0.01</f>
        <v>119318.01</v>
      </c>
      <c r="K17" s="590" t="s">
        <v>1056</v>
      </c>
      <c r="L17" s="1240" t="s">
        <v>1150</v>
      </c>
      <c r="M17" s="574" t="s">
        <v>1056</v>
      </c>
      <c r="N17" s="573">
        <f t="shared" ref="N17:U17" si="7">SUM(N18:N24)+N25+N26</f>
        <v>73716.26999999999</v>
      </c>
      <c r="O17" s="573">
        <f t="shared" si="7"/>
        <v>1400</v>
      </c>
      <c r="P17" s="573">
        <f t="shared" si="7"/>
        <v>10806.49</v>
      </c>
      <c r="Q17" s="573">
        <f t="shared" si="7"/>
        <v>0</v>
      </c>
      <c r="R17" s="573">
        <f t="shared" si="7"/>
        <v>85922.76</v>
      </c>
      <c r="S17" s="573">
        <f t="shared" si="7"/>
        <v>1840</v>
      </c>
      <c r="T17" s="573">
        <f t="shared" si="7"/>
        <v>7562.5</v>
      </c>
      <c r="U17" s="573">
        <f t="shared" si="7"/>
        <v>33649.460000000006</v>
      </c>
      <c r="V17" s="573">
        <f>SUM(V18:V24)+V25+V26+0.01</f>
        <v>128974.73</v>
      </c>
      <c r="W17" s="1241" t="s">
        <v>317</v>
      </c>
    </row>
    <row r="18" spans="1:23" s="558" customFormat="1">
      <c r="A18" s="578">
        <v>1</v>
      </c>
      <c r="B18" s="589" t="s">
        <v>23</v>
      </c>
      <c r="C18" s="582">
        <v>2080</v>
      </c>
      <c r="D18" s="582">
        <v>0</v>
      </c>
      <c r="E18" s="582">
        <v>0</v>
      </c>
      <c r="F18" s="582">
        <f>C18+D18+E18</f>
        <v>2080</v>
      </c>
      <c r="G18" s="582">
        <v>0</v>
      </c>
      <c r="H18" s="582">
        <v>120</v>
      </c>
      <c r="I18" s="582">
        <v>11.05</v>
      </c>
      <c r="J18" s="582">
        <f t="shared" ref="J18:J26" si="8">G18+H18+I18+F18</f>
        <v>2211.0500000000002</v>
      </c>
      <c r="K18" s="588" t="s">
        <v>911</v>
      </c>
      <c r="L18" s="1242">
        <v>1</v>
      </c>
      <c r="M18" s="580" t="s">
        <v>911</v>
      </c>
      <c r="N18" s="579">
        <v>1840</v>
      </c>
      <c r="O18" s="579">
        <v>0</v>
      </c>
      <c r="P18" s="579">
        <v>0</v>
      </c>
      <c r="Q18" s="579">
        <v>0</v>
      </c>
      <c r="R18" s="579">
        <v>1840</v>
      </c>
      <c r="S18" s="579">
        <v>0</v>
      </c>
      <c r="T18" s="579">
        <v>120</v>
      </c>
      <c r="U18" s="579">
        <v>11.05</v>
      </c>
      <c r="V18" s="579">
        <f t="shared" ref="V18:V26" si="9">S18+T18+U18+R18</f>
        <v>1971.05</v>
      </c>
      <c r="W18" s="1243" t="s">
        <v>23</v>
      </c>
    </row>
    <row r="19" spans="1:23" s="558" customFormat="1">
      <c r="A19" s="578">
        <v>2</v>
      </c>
      <c r="B19" s="589" t="s">
        <v>107</v>
      </c>
      <c r="C19" s="582">
        <v>0</v>
      </c>
      <c r="D19" s="582">
        <v>0</v>
      </c>
      <c r="E19" s="582">
        <v>0</v>
      </c>
      <c r="F19" s="582">
        <f>C19+D19+E19</f>
        <v>0</v>
      </c>
      <c r="G19" s="582">
        <v>0</v>
      </c>
      <c r="H19" s="582">
        <v>0</v>
      </c>
      <c r="I19" s="582">
        <v>0</v>
      </c>
      <c r="J19" s="582">
        <f t="shared" si="8"/>
        <v>0</v>
      </c>
      <c r="K19" s="588" t="s">
        <v>1149</v>
      </c>
      <c r="L19" s="1242">
        <v>2</v>
      </c>
      <c r="M19" s="580" t="s">
        <v>1149</v>
      </c>
      <c r="N19" s="579">
        <v>0</v>
      </c>
      <c r="O19" s="579">
        <v>0</v>
      </c>
      <c r="P19" s="579">
        <v>0</v>
      </c>
      <c r="Q19" s="579">
        <v>0</v>
      </c>
      <c r="R19" s="579">
        <f>N19+P19+Q19</f>
        <v>0</v>
      </c>
      <c r="S19" s="579">
        <v>0</v>
      </c>
      <c r="T19" s="579">
        <v>0</v>
      </c>
      <c r="U19" s="579">
        <v>0</v>
      </c>
      <c r="V19" s="579">
        <f t="shared" si="9"/>
        <v>0</v>
      </c>
      <c r="W19" s="1243" t="s">
        <v>107</v>
      </c>
    </row>
    <row r="20" spans="1:23" s="558" customFormat="1">
      <c r="A20" s="578">
        <v>3</v>
      </c>
      <c r="B20" s="589" t="s">
        <v>4</v>
      </c>
      <c r="C20" s="582">
        <v>0</v>
      </c>
      <c r="D20" s="582">
        <v>0</v>
      </c>
      <c r="E20" s="582">
        <v>0</v>
      </c>
      <c r="F20" s="582">
        <v>0</v>
      </c>
      <c r="G20" s="582">
        <v>0</v>
      </c>
      <c r="H20" s="582">
        <v>0</v>
      </c>
      <c r="I20" s="582">
        <v>0</v>
      </c>
      <c r="J20" s="582">
        <f t="shared" si="8"/>
        <v>0</v>
      </c>
      <c r="K20" s="588" t="s">
        <v>1148</v>
      </c>
      <c r="L20" s="1242">
        <v>3</v>
      </c>
      <c r="M20" s="580" t="s">
        <v>1148</v>
      </c>
      <c r="N20" s="579">
        <v>0</v>
      </c>
      <c r="O20" s="579">
        <v>0</v>
      </c>
      <c r="P20" s="579">
        <v>0</v>
      </c>
      <c r="Q20" s="579">
        <v>0</v>
      </c>
      <c r="R20" s="579">
        <v>0</v>
      </c>
      <c r="S20" s="579">
        <v>0</v>
      </c>
      <c r="T20" s="579">
        <v>0</v>
      </c>
      <c r="U20" s="579">
        <v>0</v>
      </c>
      <c r="V20" s="579">
        <f t="shared" si="9"/>
        <v>0</v>
      </c>
      <c r="W20" s="1243" t="s">
        <v>4</v>
      </c>
    </row>
    <row r="21" spans="1:23" s="558" customFormat="1">
      <c r="A21" s="578">
        <v>4</v>
      </c>
      <c r="B21" s="589" t="s">
        <v>16</v>
      </c>
      <c r="C21" s="582">
        <v>0</v>
      </c>
      <c r="D21" s="582">
        <v>0</v>
      </c>
      <c r="E21" s="582">
        <v>0</v>
      </c>
      <c r="F21" s="582">
        <v>0</v>
      </c>
      <c r="G21" s="582">
        <v>0</v>
      </c>
      <c r="H21" s="582">
        <v>0</v>
      </c>
      <c r="I21" s="582">
        <v>0.05</v>
      </c>
      <c r="J21" s="582">
        <f t="shared" si="8"/>
        <v>0.05</v>
      </c>
      <c r="K21" s="588" t="s">
        <v>216</v>
      </c>
      <c r="L21" s="1242">
        <v>4</v>
      </c>
      <c r="M21" s="580" t="s">
        <v>216</v>
      </c>
      <c r="N21" s="579">
        <v>0</v>
      </c>
      <c r="O21" s="579">
        <v>0</v>
      </c>
      <c r="P21" s="579">
        <v>0</v>
      </c>
      <c r="Q21" s="579">
        <v>0</v>
      </c>
      <c r="R21" s="579">
        <v>0</v>
      </c>
      <c r="S21" s="579">
        <v>0</v>
      </c>
      <c r="T21" s="579">
        <v>0</v>
      </c>
      <c r="U21" s="579">
        <v>0.05</v>
      </c>
      <c r="V21" s="579">
        <f t="shared" si="9"/>
        <v>0.05</v>
      </c>
      <c r="W21" s="1243" t="s">
        <v>16</v>
      </c>
    </row>
    <row r="22" spans="1:23" s="558" customFormat="1">
      <c r="A22" s="578">
        <v>5</v>
      </c>
      <c r="B22" s="589" t="s">
        <v>17</v>
      </c>
      <c r="C22" s="582">
        <v>4510</v>
      </c>
      <c r="D22" s="582">
        <v>2177.8200000000002</v>
      </c>
      <c r="E22" s="582">
        <v>0</v>
      </c>
      <c r="F22" s="582">
        <v>6927.82</v>
      </c>
      <c r="G22" s="582">
        <v>0</v>
      </c>
      <c r="H22" s="582">
        <v>772</v>
      </c>
      <c r="I22" s="582">
        <v>72.349999999999994</v>
      </c>
      <c r="J22" s="582">
        <f t="shared" si="8"/>
        <v>7772.17</v>
      </c>
      <c r="K22" s="588" t="s">
        <v>877</v>
      </c>
      <c r="L22" s="1242">
        <v>5</v>
      </c>
      <c r="M22" s="580" t="s">
        <v>877</v>
      </c>
      <c r="N22" s="579">
        <v>4510</v>
      </c>
      <c r="O22" s="579">
        <v>900</v>
      </c>
      <c r="P22" s="579">
        <v>2177.8200000000002</v>
      </c>
      <c r="Q22" s="579">
        <v>0</v>
      </c>
      <c r="R22" s="579">
        <v>7587.82</v>
      </c>
      <c r="S22" s="579">
        <v>0</v>
      </c>
      <c r="T22" s="579">
        <v>772</v>
      </c>
      <c r="U22" s="579">
        <v>92.79</v>
      </c>
      <c r="V22" s="579">
        <f t="shared" si="9"/>
        <v>8452.61</v>
      </c>
      <c r="W22" s="1243" t="s">
        <v>17</v>
      </c>
    </row>
    <row r="23" spans="1:23" s="558" customFormat="1">
      <c r="A23" s="578">
        <v>6</v>
      </c>
      <c r="B23" s="589" t="s">
        <v>859</v>
      </c>
      <c r="C23" s="582">
        <v>5400</v>
      </c>
      <c r="D23" s="582">
        <v>0</v>
      </c>
      <c r="E23" s="582">
        <v>0</v>
      </c>
      <c r="F23" s="582">
        <f>C23+D23+E23</f>
        <v>5400</v>
      </c>
      <c r="G23" s="582">
        <v>0</v>
      </c>
      <c r="H23" s="582">
        <v>1703.66</v>
      </c>
      <c r="I23" s="582">
        <v>83.96</v>
      </c>
      <c r="J23" s="582">
        <f t="shared" si="8"/>
        <v>7187.62</v>
      </c>
      <c r="K23" s="588" t="s">
        <v>921</v>
      </c>
      <c r="L23" s="1242">
        <v>6</v>
      </c>
      <c r="M23" s="580" t="s">
        <v>921</v>
      </c>
      <c r="N23" s="579">
        <v>5400</v>
      </c>
      <c r="O23" s="579"/>
      <c r="P23" s="579">
        <v>0</v>
      </c>
      <c r="Q23" s="579">
        <v>0</v>
      </c>
      <c r="R23" s="579">
        <f>N23+P23+Q23</f>
        <v>5400</v>
      </c>
      <c r="S23" s="579">
        <v>0</v>
      </c>
      <c r="T23" s="579">
        <v>1703.66</v>
      </c>
      <c r="U23" s="579">
        <v>83.96</v>
      </c>
      <c r="V23" s="579">
        <f t="shared" si="9"/>
        <v>7187.62</v>
      </c>
      <c r="W23" s="1243" t="s">
        <v>859</v>
      </c>
    </row>
    <row r="24" spans="1:23" s="558" customFormat="1">
      <c r="A24" s="578">
        <v>7</v>
      </c>
      <c r="B24" s="589" t="s">
        <v>29</v>
      </c>
      <c r="C24" s="582">
        <v>9750</v>
      </c>
      <c r="D24" s="582">
        <v>672</v>
      </c>
      <c r="E24" s="582">
        <v>0</v>
      </c>
      <c r="F24" s="582">
        <f>C24+D24+E24</f>
        <v>10422</v>
      </c>
      <c r="G24" s="582">
        <v>0</v>
      </c>
      <c r="H24" s="582">
        <v>2850.84</v>
      </c>
      <c r="I24" s="582">
        <v>388.13</v>
      </c>
      <c r="J24" s="582">
        <f t="shared" si="8"/>
        <v>13660.970000000001</v>
      </c>
      <c r="K24" s="588" t="s">
        <v>138</v>
      </c>
      <c r="L24" s="1242">
        <v>7</v>
      </c>
      <c r="M24" s="580" t="s">
        <v>138</v>
      </c>
      <c r="N24" s="579">
        <v>9540</v>
      </c>
      <c r="O24" s="579">
        <v>0</v>
      </c>
      <c r="P24" s="579">
        <v>672</v>
      </c>
      <c r="Q24" s="579">
        <v>0</v>
      </c>
      <c r="R24" s="579">
        <f>N24+P24+Q24</f>
        <v>10212</v>
      </c>
      <c r="S24" s="579">
        <v>0</v>
      </c>
      <c r="T24" s="579">
        <v>2850.84</v>
      </c>
      <c r="U24" s="579">
        <v>388.13</v>
      </c>
      <c r="V24" s="579">
        <f t="shared" si="9"/>
        <v>13450.970000000001</v>
      </c>
      <c r="W24" s="1243" t="s">
        <v>29</v>
      </c>
    </row>
    <row r="25" spans="1:23" s="558" customFormat="1">
      <c r="A25" s="578">
        <v>8</v>
      </c>
      <c r="B25" s="589" t="s">
        <v>1125</v>
      </c>
      <c r="C25" s="582">
        <v>32847.17</v>
      </c>
      <c r="D25" s="582">
        <v>4676</v>
      </c>
      <c r="E25" s="582">
        <v>0</v>
      </c>
      <c r="F25" s="582">
        <f>C25+D25+E25</f>
        <v>37523.17</v>
      </c>
      <c r="G25" s="582">
        <v>0</v>
      </c>
      <c r="H25" s="582">
        <v>481</v>
      </c>
      <c r="I25" s="582">
        <v>24652.05</v>
      </c>
      <c r="J25" s="582">
        <f t="shared" si="8"/>
        <v>62656.22</v>
      </c>
      <c r="K25" s="588" t="s">
        <v>1135</v>
      </c>
      <c r="L25" s="1242">
        <v>8</v>
      </c>
      <c r="M25" s="580" t="s">
        <v>1135</v>
      </c>
      <c r="N25" s="579">
        <v>31947.17</v>
      </c>
      <c r="O25" s="579">
        <v>0</v>
      </c>
      <c r="P25" s="579">
        <v>4676</v>
      </c>
      <c r="Q25" s="579">
        <v>0</v>
      </c>
      <c r="R25" s="579">
        <v>37123.17</v>
      </c>
      <c r="S25" s="579">
        <v>0</v>
      </c>
      <c r="T25" s="579">
        <v>481</v>
      </c>
      <c r="U25" s="579">
        <v>32407.18</v>
      </c>
      <c r="V25" s="579">
        <f t="shared" si="9"/>
        <v>70011.350000000006</v>
      </c>
      <c r="W25" s="1243" t="s">
        <v>1125</v>
      </c>
    </row>
    <row r="26" spans="1:23" s="558" customFormat="1" ht="15.75" thickBot="1">
      <c r="A26" s="578">
        <v>9</v>
      </c>
      <c r="B26" s="589" t="s">
        <v>1123</v>
      </c>
      <c r="C26" s="582">
        <v>18347.95</v>
      </c>
      <c r="D26" s="582">
        <v>3280.67</v>
      </c>
      <c r="E26" s="582">
        <v>0</v>
      </c>
      <c r="F26" s="582">
        <f>C26+D26+E26</f>
        <v>21628.620000000003</v>
      </c>
      <c r="G26" s="582">
        <v>1840</v>
      </c>
      <c r="H26" s="582">
        <v>1695</v>
      </c>
      <c r="I26" s="582">
        <v>666.3</v>
      </c>
      <c r="J26" s="582">
        <f t="shared" si="8"/>
        <v>25829.920000000002</v>
      </c>
      <c r="K26" s="588" t="s">
        <v>1134</v>
      </c>
      <c r="L26" s="1589">
        <v>9</v>
      </c>
      <c r="M26" s="1590" t="s">
        <v>1134</v>
      </c>
      <c r="N26" s="1591">
        <v>20479.099999999999</v>
      </c>
      <c r="O26" s="1591">
        <v>500</v>
      </c>
      <c r="P26" s="1591">
        <v>3280.67</v>
      </c>
      <c r="Q26" s="1591">
        <v>0</v>
      </c>
      <c r="R26" s="1591">
        <f>N26+P26+Q26</f>
        <v>23759.769999999997</v>
      </c>
      <c r="S26" s="1591">
        <v>1840</v>
      </c>
      <c r="T26" s="1591">
        <v>1635</v>
      </c>
      <c r="U26" s="1591">
        <v>666.3</v>
      </c>
      <c r="V26" s="1591">
        <f t="shared" si="9"/>
        <v>27901.069999999996</v>
      </c>
      <c r="W26" s="1592" t="s">
        <v>1123</v>
      </c>
    </row>
    <row r="27" spans="1:23" s="558" customFormat="1" ht="15.75" thickTop="1">
      <c r="A27" s="577" t="s">
        <v>1147</v>
      </c>
      <c r="B27" s="591" t="s">
        <v>324</v>
      </c>
      <c r="C27" s="576">
        <f t="shared" ref="C27:J27" si="10">SUM(C28:C34)+C35+C36</f>
        <v>44094.520000000004</v>
      </c>
      <c r="D27" s="576">
        <f t="shared" si="10"/>
        <v>6491.7999999999993</v>
      </c>
      <c r="E27" s="576">
        <f t="shared" si="10"/>
        <v>433.65999999999997</v>
      </c>
      <c r="F27" s="576">
        <f t="shared" si="10"/>
        <v>51019.979999999996</v>
      </c>
      <c r="G27" s="576">
        <f t="shared" si="10"/>
        <v>3320</v>
      </c>
      <c r="H27" s="576">
        <f t="shared" si="10"/>
        <v>11774.83</v>
      </c>
      <c r="I27" s="576">
        <f t="shared" si="10"/>
        <v>42406.31</v>
      </c>
      <c r="J27" s="576">
        <f t="shared" si="10"/>
        <v>108521.12</v>
      </c>
      <c r="K27" s="590" t="s">
        <v>1042</v>
      </c>
      <c r="L27" s="1760" t="s">
        <v>1147</v>
      </c>
      <c r="M27" s="1761" t="s">
        <v>1042</v>
      </c>
      <c r="N27" s="1762">
        <f t="shared" ref="N27:V27" si="11">SUM(N28:N34)+N35+N36</f>
        <v>45699.520000000004</v>
      </c>
      <c r="O27" s="1762">
        <f t="shared" si="11"/>
        <v>3640</v>
      </c>
      <c r="P27" s="1762">
        <f t="shared" si="11"/>
        <v>6491.7999999999993</v>
      </c>
      <c r="Q27" s="1762">
        <f t="shared" si="11"/>
        <v>433.65999999999997</v>
      </c>
      <c r="R27" s="1762">
        <f t="shared" si="11"/>
        <v>56264.99</v>
      </c>
      <c r="S27" s="1762">
        <f t="shared" si="11"/>
        <v>3320</v>
      </c>
      <c r="T27" s="1762">
        <f t="shared" si="11"/>
        <v>11819.83</v>
      </c>
      <c r="U27" s="1762">
        <f t="shared" si="11"/>
        <v>46908.35</v>
      </c>
      <c r="V27" s="1762">
        <f t="shared" si="11"/>
        <v>118313.16999999998</v>
      </c>
      <c r="W27" s="1763" t="s">
        <v>324</v>
      </c>
    </row>
    <row r="28" spans="1:23" s="558" customFormat="1">
      <c r="A28" s="578">
        <v>1</v>
      </c>
      <c r="B28" s="589" t="s">
        <v>14</v>
      </c>
      <c r="C28" s="582">
        <v>5010</v>
      </c>
      <c r="D28" s="582">
        <v>235.4</v>
      </c>
      <c r="E28" s="582">
        <v>0</v>
      </c>
      <c r="F28" s="582">
        <v>5245.4</v>
      </c>
      <c r="G28" s="582">
        <v>0</v>
      </c>
      <c r="H28" s="582">
        <v>1673.6</v>
      </c>
      <c r="I28" s="582">
        <v>56.18</v>
      </c>
      <c r="J28" s="582">
        <f t="shared" ref="J28:J36" si="12">G28+H28+I28+F28</f>
        <v>6975.1799999999994</v>
      </c>
      <c r="K28" s="588" t="s">
        <v>680</v>
      </c>
      <c r="L28" s="1585">
        <v>1</v>
      </c>
      <c r="M28" s="1586" t="s">
        <v>680</v>
      </c>
      <c r="N28" s="1587">
        <v>5010</v>
      </c>
      <c r="O28" s="1587">
        <v>0</v>
      </c>
      <c r="P28" s="1587">
        <v>235.4</v>
      </c>
      <c r="Q28" s="1587">
        <v>0</v>
      </c>
      <c r="R28" s="1587">
        <v>5245.4</v>
      </c>
      <c r="S28" s="1587">
        <v>0</v>
      </c>
      <c r="T28" s="1587">
        <v>1673.6</v>
      </c>
      <c r="U28" s="1587">
        <v>56.18</v>
      </c>
      <c r="V28" s="1587">
        <f t="shared" ref="V28:V36" si="13">S28+T28+U28+R28</f>
        <v>6975.1799999999994</v>
      </c>
      <c r="W28" s="1588" t="s">
        <v>14</v>
      </c>
    </row>
    <row r="29" spans="1:23" s="558" customFormat="1">
      <c r="A29" s="578">
        <v>2</v>
      </c>
      <c r="B29" s="589" t="s">
        <v>28</v>
      </c>
      <c r="C29" s="582">
        <v>5020</v>
      </c>
      <c r="D29" s="582">
        <v>0</v>
      </c>
      <c r="E29" s="582">
        <v>0</v>
      </c>
      <c r="F29" s="582">
        <f>+C29+D29+E29</f>
        <v>5020</v>
      </c>
      <c r="G29" s="582">
        <v>0</v>
      </c>
      <c r="H29" s="582">
        <v>3586.6</v>
      </c>
      <c r="I29" s="582">
        <v>193.89</v>
      </c>
      <c r="J29" s="582">
        <f t="shared" si="12"/>
        <v>8800.49</v>
      </c>
      <c r="K29" s="588" t="s">
        <v>140</v>
      </c>
      <c r="L29" s="1242">
        <v>2</v>
      </c>
      <c r="M29" s="580" t="s">
        <v>140</v>
      </c>
      <c r="N29" s="579">
        <v>5020</v>
      </c>
      <c r="O29" s="579">
        <v>0</v>
      </c>
      <c r="P29" s="579">
        <v>0</v>
      </c>
      <c r="Q29" s="579">
        <v>0</v>
      </c>
      <c r="R29" s="579">
        <f>+N29+P29+Q29</f>
        <v>5020</v>
      </c>
      <c r="S29" s="579">
        <v>0</v>
      </c>
      <c r="T29" s="579">
        <v>3631.6</v>
      </c>
      <c r="U29" s="579">
        <v>193.89</v>
      </c>
      <c r="V29" s="579">
        <f t="shared" si="13"/>
        <v>8845.49</v>
      </c>
      <c r="W29" s="1243" t="s">
        <v>28</v>
      </c>
    </row>
    <row r="30" spans="1:23" s="558" customFormat="1">
      <c r="A30" s="578">
        <v>3</v>
      </c>
      <c r="B30" s="589" t="s">
        <v>6</v>
      </c>
      <c r="C30" s="582">
        <v>0</v>
      </c>
      <c r="D30" s="582">
        <v>0</v>
      </c>
      <c r="E30" s="582">
        <v>159.96</v>
      </c>
      <c r="F30" s="582">
        <f t="shared" ref="F30:F36" si="14">C30+D30+E30</f>
        <v>159.96</v>
      </c>
      <c r="G30" s="582">
        <v>0</v>
      </c>
      <c r="H30" s="582">
        <v>1856.5</v>
      </c>
      <c r="I30" s="582">
        <v>172.9</v>
      </c>
      <c r="J30" s="582">
        <f t="shared" si="12"/>
        <v>2189.36</v>
      </c>
      <c r="K30" s="588" t="s">
        <v>874</v>
      </c>
      <c r="L30" s="1242">
        <v>3</v>
      </c>
      <c r="M30" s="580" t="s">
        <v>874</v>
      </c>
      <c r="N30" s="579">
        <v>0</v>
      </c>
      <c r="O30" s="579">
        <v>0</v>
      </c>
      <c r="P30" s="579">
        <v>0</v>
      </c>
      <c r="Q30" s="579">
        <v>159.96</v>
      </c>
      <c r="R30" s="579">
        <f>N30+P30+Q30</f>
        <v>159.96</v>
      </c>
      <c r="S30" s="579">
        <v>0</v>
      </c>
      <c r="T30" s="579">
        <v>1856.5</v>
      </c>
      <c r="U30" s="579">
        <v>183.9</v>
      </c>
      <c r="V30" s="579">
        <f t="shared" si="13"/>
        <v>2200.36</v>
      </c>
      <c r="W30" s="1243" t="s">
        <v>6</v>
      </c>
    </row>
    <row r="31" spans="1:23" s="558" customFormat="1">
      <c r="A31" s="578">
        <v>4</v>
      </c>
      <c r="B31" s="589" t="s">
        <v>1145</v>
      </c>
      <c r="C31" s="582">
        <v>0</v>
      </c>
      <c r="D31" s="582">
        <v>0</v>
      </c>
      <c r="E31" s="582">
        <v>0</v>
      </c>
      <c r="F31" s="582">
        <f t="shared" si="14"/>
        <v>0</v>
      </c>
      <c r="G31" s="582">
        <v>0</v>
      </c>
      <c r="H31" s="582">
        <v>0</v>
      </c>
      <c r="I31" s="582">
        <v>0</v>
      </c>
      <c r="J31" s="582">
        <f t="shared" si="12"/>
        <v>0</v>
      </c>
      <c r="K31" s="588" t="s">
        <v>1146</v>
      </c>
      <c r="L31" s="1242">
        <v>4</v>
      </c>
      <c r="M31" s="580" t="s">
        <v>1146</v>
      </c>
      <c r="N31" s="579">
        <v>0</v>
      </c>
      <c r="O31" s="579">
        <v>0</v>
      </c>
      <c r="P31" s="579">
        <v>0</v>
      </c>
      <c r="Q31" s="579">
        <v>0</v>
      </c>
      <c r="R31" s="579">
        <f>N31+P31+Q31</f>
        <v>0</v>
      </c>
      <c r="S31" s="579">
        <v>0</v>
      </c>
      <c r="T31" s="579">
        <v>0</v>
      </c>
      <c r="U31" s="579">
        <v>0</v>
      </c>
      <c r="V31" s="579">
        <f t="shared" si="13"/>
        <v>0</v>
      </c>
      <c r="W31" s="1243" t="s">
        <v>1145</v>
      </c>
    </row>
    <row r="32" spans="1:23" s="558" customFormat="1">
      <c r="A32" s="578">
        <v>5</v>
      </c>
      <c r="B32" s="589" t="s">
        <v>10</v>
      </c>
      <c r="C32" s="582">
        <v>0</v>
      </c>
      <c r="D32" s="582">
        <v>32.5</v>
      </c>
      <c r="E32" s="582">
        <v>0</v>
      </c>
      <c r="F32" s="582">
        <f t="shared" si="14"/>
        <v>32.5</v>
      </c>
      <c r="G32" s="582">
        <v>0</v>
      </c>
      <c r="H32" s="582">
        <v>0</v>
      </c>
      <c r="I32" s="582">
        <v>0</v>
      </c>
      <c r="J32" s="582">
        <f t="shared" si="12"/>
        <v>32.5</v>
      </c>
      <c r="K32" s="588" t="s">
        <v>873</v>
      </c>
      <c r="L32" s="1242">
        <v>5</v>
      </c>
      <c r="M32" s="580" t="s">
        <v>873</v>
      </c>
      <c r="N32" s="579">
        <v>0</v>
      </c>
      <c r="O32" s="579">
        <v>0</v>
      </c>
      <c r="P32" s="579">
        <v>32.5</v>
      </c>
      <c r="Q32" s="579">
        <v>0</v>
      </c>
      <c r="R32" s="579">
        <f>N32+P32+Q32</f>
        <v>32.5</v>
      </c>
      <c r="S32" s="579">
        <v>0</v>
      </c>
      <c r="T32" s="579">
        <v>0</v>
      </c>
      <c r="U32" s="579">
        <v>0</v>
      </c>
      <c r="V32" s="579">
        <f t="shared" si="13"/>
        <v>32.5</v>
      </c>
      <c r="W32" s="1243" t="s">
        <v>10</v>
      </c>
    </row>
    <row r="33" spans="1:23" s="558" customFormat="1" ht="18" customHeight="1">
      <c r="A33" s="578">
        <v>6</v>
      </c>
      <c r="B33" s="589" t="s">
        <v>12</v>
      </c>
      <c r="C33" s="582">
        <v>4320</v>
      </c>
      <c r="D33" s="582">
        <v>524.08000000000004</v>
      </c>
      <c r="E33" s="582">
        <v>0</v>
      </c>
      <c r="F33" s="582">
        <f t="shared" si="14"/>
        <v>4844.08</v>
      </c>
      <c r="G33" s="582">
        <v>0</v>
      </c>
      <c r="H33" s="582">
        <v>2178.1999999999998</v>
      </c>
      <c r="I33" s="582">
        <v>122.7</v>
      </c>
      <c r="J33" s="582">
        <f t="shared" si="12"/>
        <v>7144.98</v>
      </c>
      <c r="K33" s="588" t="s">
        <v>681</v>
      </c>
      <c r="L33" s="1242">
        <v>6</v>
      </c>
      <c r="M33" s="580" t="s">
        <v>681</v>
      </c>
      <c r="N33" s="579">
        <v>4320</v>
      </c>
      <c r="O33" s="579">
        <v>0</v>
      </c>
      <c r="P33" s="579">
        <v>524.08000000000004</v>
      </c>
      <c r="Q33" s="579">
        <v>0</v>
      </c>
      <c r="R33" s="579">
        <f>N33+P33+Q33</f>
        <v>4844.08</v>
      </c>
      <c r="S33" s="579">
        <v>0</v>
      </c>
      <c r="T33" s="579">
        <v>2178.1999999999998</v>
      </c>
      <c r="U33" s="579">
        <v>122.7</v>
      </c>
      <c r="V33" s="579">
        <f t="shared" si="13"/>
        <v>7144.98</v>
      </c>
      <c r="W33" s="1243" t="s">
        <v>12</v>
      </c>
    </row>
    <row r="34" spans="1:23" s="558" customFormat="1">
      <c r="A34" s="578">
        <v>7</v>
      </c>
      <c r="B34" s="589" t="s">
        <v>39</v>
      </c>
      <c r="C34" s="582">
        <v>5162.5</v>
      </c>
      <c r="D34" s="582">
        <v>0</v>
      </c>
      <c r="E34" s="582">
        <v>0</v>
      </c>
      <c r="F34" s="582">
        <f t="shared" si="14"/>
        <v>5162.5</v>
      </c>
      <c r="G34" s="582">
        <v>0</v>
      </c>
      <c r="H34" s="582">
        <v>2479.9299999999998</v>
      </c>
      <c r="I34" s="582">
        <v>41.22</v>
      </c>
      <c r="J34" s="582">
        <f t="shared" si="12"/>
        <v>7683.65</v>
      </c>
      <c r="K34" s="588" t="s">
        <v>218</v>
      </c>
      <c r="L34" s="1242">
        <v>7</v>
      </c>
      <c r="M34" s="580" t="s">
        <v>218</v>
      </c>
      <c r="N34" s="579">
        <v>6242.5</v>
      </c>
      <c r="O34" s="579">
        <v>0</v>
      </c>
      <c r="P34" s="579">
        <v>0</v>
      </c>
      <c r="Q34" s="579">
        <v>0</v>
      </c>
      <c r="R34" s="579">
        <f>N34+P34+Q34</f>
        <v>6242.5</v>
      </c>
      <c r="S34" s="579">
        <v>0</v>
      </c>
      <c r="T34" s="579">
        <v>2479.9299999999998</v>
      </c>
      <c r="U34" s="579">
        <v>41.22</v>
      </c>
      <c r="V34" s="579">
        <f t="shared" si="13"/>
        <v>8763.65</v>
      </c>
      <c r="W34" s="1243" t="s">
        <v>39</v>
      </c>
    </row>
    <row r="35" spans="1:23" s="558" customFormat="1" ht="13.5" customHeight="1">
      <c r="A35" s="578">
        <v>8</v>
      </c>
      <c r="B35" s="589" t="s">
        <v>1125</v>
      </c>
      <c r="C35" s="582">
        <v>12747</v>
      </c>
      <c r="D35" s="582">
        <v>5340.24</v>
      </c>
      <c r="E35" s="582">
        <v>273.7</v>
      </c>
      <c r="F35" s="582">
        <f t="shared" si="14"/>
        <v>18360.939999999999</v>
      </c>
      <c r="G35" s="582">
        <v>0</v>
      </c>
      <c r="H35" s="582">
        <v>0</v>
      </c>
      <c r="I35" s="582">
        <v>41277.519999999997</v>
      </c>
      <c r="J35" s="582">
        <f t="shared" si="12"/>
        <v>59638.459999999992</v>
      </c>
      <c r="K35" s="588" t="s">
        <v>1135</v>
      </c>
      <c r="L35" s="1242">
        <v>8</v>
      </c>
      <c r="M35" s="580" t="s">
        <v>1135</v>
      </c>
      <c r="N35" s="579">
        <v>13272</v>
      </c>
      <c r="O35" s="579">
        <v>250</v>
      </c>
      <c r="P35" s="579">
        <v>5340.24</v>
      </c>
      <c r="Q35" s="579">
        <v>273.7</v>
      </c>
      <c r="R35" s="579">
        <v>19135.95</v>
      </c>
      <c r="S35" s="579">
        <v>0</v>
      </c>
      <c r="T35" s="579">
        <v>0</v>
      </c>
      <c r="U35" s="579">
        <v>45768.56</v>
      </c>
      <c r="V35" s="579">
        <f t="shared" si="13"/>
        <v>64904.509999999995</v>
      </c>
      <c r="W35" s="1243" t="s">
        <v>1125</v>
      </c>
    </row>
    <row r="36" spans="1:23" s="558" customFormat="1" ht="13.5" customHeight="1">
      <c r="A36" s="578">
        <v>9</v>
      </c>
      <c r="B36" s="589" t="s">
        <v>1123</v>
      </c>
      <c r="C36" s="582">
        <v>11835.02</v>
      </c>
      <c r="D36" s="582">
        <v>359.58</v>
      </c>
      <c r="E36" s="582">
        <v>0</v>
      </c>
      <c r="F36" s="582">
        <f t="shared" si="14"/>
        <v>12194.6</v>
      </c>
      <c r="G36" s="582">
        <v>3320</v>
      </c>
      <c r="H36" s="582">
        <v>0</v>
      </c>
      <c r="I36" s="582">
        <v>541.9</v>
      </c>
      <c r="J36" s="582">
        <f t="shared" si="12"/>
        <v>16056.5</v>
      </c>
      <c r="K36" s="588" t="s">
        <v>1134</v>
      </c>
      <c r="L36" s="1242">
        <v>9</v>
      </c>
      <c r="M36" s="580" t="s">
        <v>1134</v>
      </c>
      <c r="N36" s="579">
        <v>11835.02</v>
      </c>
      <c r="O36" s="579">
        <v>3390</v>
      </c>
      <c r="P36" s="579">
        <v>359.58</v>
      </c>
      <c r="Q36" s="579">
        <v>0</v>
      </c>
      <c r="R36" s="579">
        <v>15584.6</v>
      </c>
      <c r="S36" s="579">
        <v>3320</v>
      </c>
      <c r="T36" s="579">
        <v>0</v>
      </c>
      <c r="U36" s="579">
        <v>541.9</v>
      </c>
      <c r="V36" s="579">
        <f t="shared" si="13"/>
        <v>19446.5</v>
      </c>
      <c r="W36" s="1243" t="s">
        <v>1123</v>
      </c>
    </row>
    <row r="37" spans="1:23" s="558" customFormat="1" ht="16.5" customHeight="1">
      <c r="A37" s="577" t="s">
        <v>1144</v>
      </c>
      <c r="B37" s="591" t="s">
        <v>314</v>
      </c>
      <c r="C37" s="576">
        <f t="shared" ref="C37:J37" si="15">SUM(C38:C43)+C44+C45</f>
        <v>27285.05</v>
      </c>
      <c r="D37" s="576">
        <f t="shared" si="15"/>
        <v>100</v>
      </c>
      <c r="E37" s="576">
        <f t="shared" si="15"/>
        <v>0</v>
      </c>
      <c r="F37" s="576">
        <f t="shared" si="15"/>
        <v>27385.05</v>
      </c>
      <c r="G37" s="576">
        <f t="shared" si="15"/>
        <v>0</v>
      </c>
      <c r="H37" s="576">
        <f t="shared" si="15"/>
        <v>4639.12</v>
      </c>
      <c r="I37" s="576">
        <f t="shared" si="15"/>
        <v>1496.9699999999998</v>
      </c>
      <c r="J37" s="576">
        <f t="shared" si="15"/>
        <v>33521.14</v>
      </c>
      <c r="K37" s="590" t="s">
        <v>1025</v>
      </c>
      <c r="L37" s="1242" t="s">
        <v>1144</v>
      </c>
      <c r="M37" s="574" t="s">
        <v>1025</v>
      </c>
      <c r="N37" s="573">
        <f t="shared" ref="N37:V37" si="16">SUM(N38:N43)+N44+N45</f>
        <v>27756.68</v>
      </c>
      <c r="O37" s="573">
        <f t="shared" si="16"/>
        <v>0</v>
      </c>
      <c r="P37" s="573">
        <f t="shared" si="16"/>
        <v>100</v>
      </c>
      <c r="Q37" s="573">
        <f t="shared" si="16"/>
        <v>0</v>
      </c>
      <c r="R37" s="573">
        <f t="shared" si="16"/>
        <v>27856.68</v>
      </c>
      <c r="S37" s="573">
        <f t="shared" si="16"/>
        <v>0</v>
      </c>
      <c r="T37" s="573">
        <f t="shared" si="16"/>
        <v>4764.42</v>
      </c>
      <c r="U37" s="573">
        <f t="shared" si="16"/>
        <v>1745.3200000000002</v>
      </c>
      <c r="V37" s="573">
        <f t="shared" si="16"/>
        <v>34366.42</v>
      </c>
      <c r="W37" s="1241" t="s">
        <v>314</v>
      </c>
    </row>
    <row r="38" spans="1:23" s="558" customFormat="1" ht="13.5" customHeight="1">
      <c r="A38" s="578">
        <v>1</v>
      </c>
      <c r="B38" s="589" t="s">
        <v>1142</v>
      </c>
      <c r="C38" s="582">
        <v>0</v>
      </c>
      <c r="D38" s="582">
        <v>0</v>
      </c>
      <c r="E38" s="582">
        <v>0</v>
      </c>
      <c r="F38" s="582">
        <f>C38+D38+E38</f>
        <v>0</v>
      </c>
      <c r="G38" s="582">
        <v>0</v>
      </c>
      <c r="H38" s="582">
        <v>0</v>
      </c>
      <c r="I38" s="582">
        <v>70.7</v>
      </c>
      <c r="J38" s="582">
        <f t="shared" ref="J38:J45" si="17">G38+H38+I38+F38</f>
        <v>70.7</v>
      </c>
      <c r="K38" s="588" t="s">
        <v>1143</v>
      </c>
      <c r="L38" s="1242">
        <v>1</v>
      </c>
      <c r="M38" s="580" t="s">
        <v>1143</v>
      </c>
      <c r="N38" s="579">
        <v>0</v>
      </c>
      <c r="O38" s="579">
        <v>0</v>
      </c>
      <c r="P38" s="579">
        <v>0</v>
      </c>
      <c r="Q38" s="579">
        <v>0</v>
      </c>
      <c r="R38" s="579">
        <f>N38+P38+Q38</f>
        <v>0</v>
      </c>
      <c r="S38" s="579">
        <v>0</v>
      </c>
      <c r="T38" s="579">
        <v>0</v>
      </c>
      <c r="U38" s="579">
        <v>70.7</v>
      </c>
      <c r="V38" s="579">
        <f t="shared" ref="V38:V45" si="18">S38+T38+U38+R38</f>
        <v>70.7</v>
      </c>
      <c r="W38" s="1243" t="s">
        <v>1142</v>
      </c>
    </row>
    <row r="39" spans="1:23" s="558" customFormat="1" ht="13.5" customHeight="1">
      <c r="A39" s="578">
        <v>2</v>
      </c>
      <c r="B39" s="589" t="s">
        <v>1140</v>
      </c>
      <c r="C39" s="582">
        <v>0</v>
      </c>
      <c r="D39" s="582">
        <v>0</v>
      </c>
      <c r="E39" s="582">
        <v>0</v>
      </c>
      <c r="F39" s="582">
        <f>C39+D39+E39</f>
        <v>0</v>
      </c>
      <c r="G39" s="582">
        <v>0</v>
      </c>
      <c r="H39" s="582">
        <v>0</v>
      </c>
      <c r="I39" s="582">
        <v>0</v>
      </c>
      <c r="J39" s="582">
        <f t="shared" si="17"/>
        <v>0</v>
      </c>
      <c r="K39" s="588" t="s">
        <v>1141</v>
      </c>
      <c r="L39" s="1242">
        <v>2</v>
      </c>
      <c r="M39" s="580" t="s">
        <v>1141</v>
      </c>
      <c r="N39" s="579">
        <v>0</v>
      </c>
      <c r="O39" s="579">
        <v>0</v>
      </c>
      <c r="P39" s="579">
        <v>0</v>
      </c>
      <c r="Q39" s="579">
        <v>0</v>
      </c>
      <c r="R39" s="579">
        <f>N39+P39+Q39</f>
        <v>0</v>
      </c>
      <c r="S39" s="579">
        <v>0</v>
      </c>
      <c r="T39" s="579">
        <v>0</v>
      </c>
      <c r="U39" s="579">
        <v>0</v>
      </c>
      <c r="V39" s="579">
        <f t="shared" si="18"/>
        <v>0</v>
      </c>
      <c r="W39" s="1243" t="s">
        <v>1140</v>
      </c>
    </row>
    <row r="40" spans="1:23" s="558" customFormat="1">
      <c r="A40" s="578">
        <v>3</v>
      </c>
      <c r="B40" s="589" t="s">
        <v>27</v>
      </c>
      <c r="C40" s="582">
        <v>420</v>
      </c>
      <c r="D40" s="582">
        <v>0</v>
      </c>
      <c r="E40" s="582">
        <v>0</v>
      </c>
      <c r="F40" s="582">
        <f>C40+D40+E40</f>
        <v>420</v>
      </c>
      <c r="G40" s="582">
        <v>0</v>
      </c>
      <c r="H40" s="582">
        <v>130</v>
      </c>
      <c r="I40" s="582">
        <v>4.05</v>
      </c>
      <c r="J40" s="582">
        <f t="shared" si="17"/>
        <v>554.04999999999995</v>
      </c>
      <c r="K40" s="588" t="s">
        <v>861</v>
      </c>
      <c r="L40" s="1242">
        <v>3</v>
      </c>
      <c r="M40" s="580" t="s">
        <v>861</v>
      </c>
      <c r="N40" s="579">
        <v>420</v>
      </c>
      <c r="O40" s="579">
        <v>0</v>
      </c>
      <c r="P40" s="579">
        <v>0</v>
      </c>
      <c r="Q40" s="579">
        <v>0</v>
      </c>
      <c r="R40" s="579">
        <f>N40+P40+Q40</f>
        <v>420</v>
      </c>
      <c r="S40" s="579">
        <v>0</v>
      </c>
      <c r="T40" s="579">
        <v>130</v>
      </c>
      <c r="U40" s="579">
        <v>4.05</v>
      </c>
      <c r="V40" s="579">
        <f t="shared" si="18"/>
        <v>554.04999999999995</v>
      </c>
      <c r="W40" s="1243" t="s">
        <v>27</v>
      </c>
    </row>
    <row r="41" spans="1:23" s="558" customFormat="1">
      <c r="A41" s="578">
        <v>4</v>
      </c>
      <c r="B41" s="589" t="s">
        <v>9</v>
      </c>
      <c r="C41" s="582">
        <v>1740</v>
      </c>
      <c r="D41" s="582">
        <v>0</v>
      </c>
      <c r="E41" s="582">
        <v>0</v>
      </c>
      <c r="F41" s="582">
        <f>C41+D41+E41</f>
        <v>1740</v>
      </c>
      <c r="G41" s="582">
        <v>0</v>
      </c>
      <c r="H41" s="582">
        <v>2061.92</v>
      </c>
      <c r="I41" s="582">
        <v>26.3</v>
      </c>
      <c r="J41" s="582">
        <f t="shared" si="17"/>
        <v>3828.2200000000003</v>
      </c>
      <c r="K41" s="588" t="s">
        <v>856</v>
      </c>
      <c r="L41" s="1242">
        <v>4</v>
      </c>
      <c r="M41" s="580" t="s">
        <v>856</v>
      </c>
      <c r="N41" s="579">
        <v>1740</v>
      </c>
      <c r="O41" s="579">
        <v>0</v>
      </c>
      <c r="P41" s="579">
        <v>0</v>
      </c>
      <c r="Q41" s="579">
        <v>0</v>
      </c>
      <c r="R41" s="579">
        <f>N41+P41+Q41</f>
        <v>1740</v>
      </c>
      <c r="S41" s="579">
        <v>0</v>
      </c>
      <c r="T41" s="579">
        <v>2074.2199999999998</v>
      </c>
      <c r="U41" s="579">
        <v>26.3</v>
      </c>
      <c r="V41" s="579">
        <f t="shared" si="18"/>
        <v>3840.52</v>
      </c>
      <c r="W41" s="1243" t="s">
        <v>9</v>
      </c>
    </row>
    <row r="42" spans="1:23" s="558" customFormat="1">
      <c r="A42" s="578">
        <v>5</v>
      </c>
      <c r="B42" s="589" t="s">
        <v>20</v>
      </c>
      <c r="C42" s="582">
        <v>0</v>
      </c>
      <c r="D42" s="582">
        <v>0</v>
      </c>
      <c r="E42" s="582">
        <v>0</v>
      </c>
      <c r="F42" s="582">
        <v>0</v>
      </c>
      <c r="G42" s="582">
        <v>0</v>
      </c>
      <c r="H42" s="582">
        <v>360</v>
      </c>
      <c r="I42" s="582">
        <v>52.11</v>
      </c>
      <c r="J42" s="582">
        <f t="shared" si="17"/>
        <v>412.11</v>
      </c>
      <c r="K42" s="588" t="s">
        <v>1139</v>
      </c>
      <c r="L42" s="1242">
        <v>5</v>
      </c>
      <c r="M42" s="580" t="s">
        <v>1139</v>
      </c>
      <c r="N42" s="579">
        <v>0</v>
      </c>
      <c r="O42" s="579">
        <v>0</v>
      </c>
      <c r="P42" s="579">
        <v>0</v>
      </c>
      <c r="Q42" s="579">
        <v>0</v>
      </c>
      <c r="R42" s="579">
        <v>0</v>
      </c>
      <c r="S42" s="579">
        <v>0</v>
      </c>
      <c r="T42" s="579">
        <v>360</v>
      </c>
      <c r="U42" s="579">
        <v>52.11</v>
      </c>
      <c r="V42" s="579">
        <f t="shared" si="18"/>
        <v>412.11</v>
      </c>
      <c r="W42" s="1243" t="s">
        <v>20</v>
      </c>
    </row>
    <row r="43" spans="1:23" s="558" customFormat="1">
      <c r="A43" s="578">
        <v>6</v>
      </c>
      <c r="B43" s="589" t="s">
        <v>37</v>
      </c>
      <c r="C43" s="582">
        <v>5290</v>
      </c>
      <c r="D43" s="582">
        <v>100</v>
      </c>
      <c r="E43" s="582">
        <v>0</v>
      </c>
      <c r="F43" s="582">
        <f>C43+D43+E43</f>
        <v>5390</v>
      </c>
      <c r="G43" s="582">
        <v>0</v>
      </c>
      <c r="H43" s="582">
        <v>986</v>
      </c>
      <c r="I43" s="582">
        <v>121.95</v>
      </c>
      <c r="J43" s="582">
        <f t="shared" si="17"/>
        <v>6497.95</v>
      </c>
      <c r="K43" s="588" t="s">
        <v>219</v>
      </c>
      <c r="L43" s="1242">
        <v>6</v>
      </c>
      <c r="M43" s="580" t="s">
        <v>219</v>
      </c>
      <c r="N43" s="579">
        <v>4810</v>
      </c>
      <c r="O43" s="579">
        <v>0</v>
      </c>
      <c r="P43" s="579">
        <v>100</v>
      </c>
      <c r="Q43" s="579">
        <v>0</v>
      </c>
      <c r="R43" s="579">
        <f>N43+P43+Q43</f>
        <v>4910</v>
      </c>
      <c r="S43" s="579">
        <v>0</v>
      </c>
      <c r="T43" s="579">
        <v>986</v>
      </c>
      <c r="U43" s="579">
        <v>121.95</v>
      </c>
      <c r="V43" s="579">
        <f t="shared" si="18"/>
        <v>6017.95</v>
      </c>
      <c r="W43" s="1243" t="s">
        <v>37</v>
      </c>
    </row>
    <row r="44" spans="1:23" s="558" customFormat="1">
      <c r="A44" s="578">
        <v>7</v>
      </c>
      <c r="B44" s="589" t="s">
        <v>1125</v>
      </c>
      <c r="C44" s="582">
        <v>6153</v>
      </c>
      <c r="D44" s="582">
        <v>0</v>
      </c>
      <c r="E44" s="582">
        <v>0</v>
      </c>
      <c r="F44" s="582">
        <f>C44+D44+E44</f>
        <v>6153</v>
      </c>
      <c r="G44" s="582">
        <v>0</v>
      </c>
      <c r="H44" s="582">
        <v>96</v>
      </c>
      <c r="I44" s="582">
        <v>1211.8599999999999</v>
      </c>
      <c r="J44" s="582">
        <f t="shared" si="17"/>
        <v>7460.86</v>
      </c>
      <c r="K44" s="588" t="s">
        <v>1135</v>
      </c>
      <c r="L44" s="1242">
        <v>7</v>
      </c>
      <c r="M44" s="580" t="s">
        <v>1135</v>
      </c>
      <c r="N44" s="579">
        <v>5553</v>
      </c>
      <c r="O44" s="579">
        <v>0</v>
      </c>
      <c r="P44" s="579">
        <v>0</v>
      </c>
      <c r="Q44" s="579">
        <v>0</v>
      </c>
      <c r="R44" s="579">
        <f>N44+P44+Q44</f>
        <v>5553</v>
      </c>
      <c r="S44" s="579">
        <v>0</v>
      </c>
      <c r="T44" s="579">
        <v>209</v>
      </c>
      <c r="U44" s="579">
        <v>1460.21</v>
      </c>
      <c r="V44" s="579">
        <f t="shared" si="18"/>
        <v>7222.21</v>
      </c>
      <c r="W44" s="1243" t="s">
        <v>1125</v>
      </c>
    </row>
    <row r="45" spans="1:23" s="558" customFormat="1">
      <c r="A45" s="578">
        <v>8</v>
      </c>
      <c r="B45" s="589" t="s">
        <v>1123</v>
      </c>
      <c r="C45" s="582">
        <v>13682.05</v>
      </c>
      <c r="D45" s="582">
        <v>0</v>
      </c>
      <c r="E45" s="582">
        <v>0</v>
      </c>
      <c r="F45" s="582">
        <f>C45+D45+E45</f>
        <v>13682.05</v>
      </c>
      <c r="G45" s="582">
        <v>0</v>
      </c>
      <c r="H45" s="582">
        <v>1005.2</v>
      </c>
      <c r="I45" s="582">
        <v>10</v>
      </c>
      <c r="J45" s="582">
        <f t="shared" si="17"/>
        <v>14697.25</v>
      </c>
      <c r="K45" s="588" t="s">
        <v>1134</v>
      </c>
      <c r="L45" s="1242">
        <v>8</v>
      </c>
      <c r="M45" s="580" t="s">
        <v>1134</v>
      </c>
      <c r="N45" s="579">
        <v>15233.68</v>
      </c>
      <c r="O45" s="579">
        <v>0</v>
      </c>
      <c r="P45" s="579">
        <v>0</v>
      </c>
      <c r="Q45" s="579">
        <v>0</v>
      </c>
      <c r="R45" s="579">
        <f>N45+P45+Q45</f>
        <v>15233.68</v>
      </c>
      <c r="S45" s="579">
        <v>0</v>
      </c>
      <c r="T45" s="579">
        <v>1005.2</v>
      </c>
      <c r="U45" s="579">
        <v>10</v>
      </c>
      <c r="V45" s="579">
        <f t="shared" si="18"/>
        <v>16248.880000000001</v>
      </c>
      <c r="W45" s="1243" t="s">
        <v>1123</v>
      </c>
    </row>
    <row r="46" spans="1:23" s="558" customFormat="1">
      <c r="A46" s="577" t="s">
        <v>1138</v>
      </c>
      <c r="B46" s="591" t="s">
        <v>1008</v>
      </c>
      <c r="C46" s="576">
        <f t="shared" ref="C46:J46" si="19">SUM(C47:C53)+C54+C55</f>
        <v>770.02</v>
      </c>
      <c r="D46" s="576">
        <f t="shared" si="19"/>
        <v>1775.81</v>
      </c>
      <c r="E46" s="576">
        <f t="shared" si="19"/>
        <v>36</v>
      </c>
      <c r="F46" s="576">
        <f t="shared" si="19"/>
        <v>2581.83</v>
      </c>
      <c r="G46" s="576">
        <f t="shared" si="19"/>
        <v>0</v>
      </c>
      <c r="H46" s="576">
        <f t="shared" si="19"/>
        <v>1577</v>
      </c>
      <c r="I46" s="576">
        <f t="shared" si="19"/>
        <v>364.2</v>
      </c>
      <c r="J46" s="576">
        <f t="shared" si="19"/>
        <v>4523.03</v>
      </c>
      <c r="K46" s="590" t="s">
        <v>1025</v>
      </c>
      <c r="L46" s="1242" t="s">
        <v>1138</v>
      </c>
      <c r="M46" s="574" t="s">
        <v>1025</v>
      </c>
      <c r="N46" s="573">
        <f t="shared" ref="N46:V46" si="20">SUM(N47:N53)+N54+N55</f>
        <v>770.02</v>
      </c>
      <c r="O46" s="573">
        <f t="shared" si="20"/>
        <v>0</v>
      </c>
      <c r="P46" s="573">
        <f t="shared" si="20"/>
        <v>1719.96</v>
      </c>
      <c r="Q46" s="573">
        <f t="shared" si="20"/>
        <v>36</v>
      </c>
      <c r="R46" s="573">
        <f t="shared" si="20"/>
        <v>2525.98</v>
      </c>
      <c r="S46" s="573">
        <f t="shared" si="20"/>
        <v>0</v>
      </c>
      <c r="T46" s="573">
        <f t="shared" si="20"/>
        <v>1944</v>
      </c>
      <c r="U46" s="573">
        <f t="shared" si="20"/>
        <v>473.25</v>
      </c>
      <c r="V46" s="573">
        <f t="shared" si="20"/>
        <v>4943.2299999999996</v>
      </c>
      <c r="W46" s="1241" t="s">
        <v>1008</v>
      </c>
    </row>
    <row r="47" spans="1:23" s="558" customFormat="1">
      <c r="A47" s="578">
        <v>1</v>
      </c>
      <c r="B47" s="589" t="s">
        <v>15</v>
      </c>
      <c r="C47" s="582">
        <v>0</v>
      </c>
      <c r="D47" s="582">
        <v>0</v>
      </c>
      <c r="E47" s="582">
        <v>0</v>
      </c>
      <c r="F47" s="582">
        <f t="shared" ref="F47:F55" si="21">C47+D47+E47</f>
        <v>0</v>
      </c>
      <c r="G47" s="582">
        <v>0</v>
      </c>
      <c r="H47" s="582">
        <v>0</v>
      </c>
      <c r="I47" s="582">
        <v>107.11</v>
      </c>
      <c r="J47" s="582">
        <f t="shared" ref="J47:J55" si="22">G47+H47+I47+F47</f>
        <v>107.11</v>
      </c>
      <c r="K47" s="588" t="s">
        <v>912</v>
      </c>
      <c r="L47" s="1242">
        <v>1</v>
      </c>
      <c r="M47" s="580" t="s">
        <v>912</v>
      </c>
      <c r="N47" s="579">
        <v>0</v>
      </c>
      <c r="O47" s="579">
        <v>0</v>
      </c>
      <c r="P47" s="579">
        <v>0</v>
      </c>
      <c r="Q47" s="579">
        <v>0</v>
      </c>
      <c r="R47" s="579">
        <f t="shared" ref="R47:R55" si="23">N47+P47+Q47</f>
        <v>0</v>
      </c>
      <c r="S47" s="579">
        <v>0</v>
      </c>
      <c r="T47" s="579">
        <v>0</v>
      </c>
      <c r="U47" s="579">
        <v>107.11</v>
      </c>
      <c r="V47" s="579">
        <f t="shared" ref="V47:V55" si="24">S47+T47+U47+R47</f>
        <v>107.11</v>
      </c>
      <c r="W47" s="1243" t="s">
        <v>15</v>
      </c>
    </row>
    <row r="48" spans="1:23" s="558" customFormat="1" ht="15.75" thickBot="1">
      <c r="A48" s="578">
        <v>2</v>
      </c>
      <c r="B48" s="589" t="s">
        <v>21</v>
      </c>
      <c r="C48" s="582">
        <v>0</v>
      </c>
      <c r="D48" s="582">
        <v>328.21</v>
      </c>
      <c r="E48" s="582">
        <v>0</v>
      </c>
      <c r="F48" s="582">
        <f t="shared" si="21"/>
        <v>328.21</v>
      </c>
      <c r="G48" s="582">
        <v>0</v>
      </c>
      <c r="H48" s="582">
        <v>100</v>
      </c>
      <c r="I48" s="582">
        <v>5.01</v>
      </c>
      <c r="J48" s="582">
        <f t="shared" si="22"/>
        <v>433.21999999999997</v>
      </c>
      <c r="K48" s="588" t="s">
        <v>215</v>
      </c>
      <c r="L48" s="1589">
        <v>2</v>
      </c>
      <c r="M48" s="1590" t="s">
        <v>215</v>
      </c>
      <c r="N48" s="1591">
        <v>0</v>
      </c>
      <c r="O48" s="1591">
        <v>0</v>
      </c>
      <c r="P48" s="1591">
        <v>329.36</v>
      </c>
      <c r="Q48" s="1591">
        <v>0</v>
      </c>
      <c r="R48" s="1591">
        <f t="shared" si="23"/>
        <v>329.36</v>
      </c>
      <c r="S48" s="1591">
        <v>0</v>
      </c>
      <c r="T48" s="1591">
        <v>100</v>
      </c>
      <c r="U48" s="1591">
        <v>5.01</v>
      </c>
      <c r="V48" s="1591">
        <f t="shared" si="24"/>
        <v>434.37</v>
      </c>
      <c r="W48" s="1592" t="s">
        <v>21</v>
      </c>
    </row>
    <row r="49" spans="1:23" s="558" customFormat="1" ht="15.75" thickTop="1">
      <c r="A49" s="578">
        <v>3</v>
      </c>
      <c r="B49" s="589" t="s">
        <v>19</v>
      </c>
      <c r="C49" s="582">
        <v>0</v>
      </c>
      <c r="D49" s="582">
        <v>0</v>
      </c>
      <c r="E49" s="582">
        <v>36</v>
      </c>
      <c r="F49" s="582">
        <f t="shared" si="21"/>
        <v>36</v>
      </c>
      <c r="G49" s="582">
        <v>0</v>
      </c>
      <c r="H49" s="582">
        <v>0</v>
      </c>
      <c r="I49" s="582">
        <v>5.45</v>
      </c>
      <c r="J49" s="582">
        <f t="shared" si="22"/>
        <v>41.45</v>
      </c>
      <c r="K49" s="588" t="s">
        <v>1137</v>
      </c>
      <c r="L49" s="1585">
        <v>3</v>
      </c>
      <c r="M49" s="1586" t="s">
        <v>1137</v>
      </c>
      <c r="N49" s="1587">
        <v>0</v>
      </c>
      <c r="O49" s="1587">
        <v>0</v>
      </c>
      <c r="P49" s="1587">
        <v>0</v>
      </c>
      <c r="Q49" s="1587">
        <v>36</v>
      </c>
      <c r="R49" s="1587">
        <f t="shared" si="23"/>
        <v>36</v>
      </c>
      <c r="S49" s="1587">
        <v>0</v>
      </c>
      <c r="T49" s="1587">
        <v>0</v>
      </c>
      <c r="U49" s="1587">
        <v>5.45</v>
      </c>
      <c r="V49" s="1587">
        <f t="shared" si="24"/>
        <v>41.45</v>
      </c>
      <c r="W49" s="1588" t="s">
        <v>19</v>
      </c>
    </row>
    <row r="50" spans="1:23" s="558" customFormat="1" ht="15" customHeight="1">
      <c r="A50" s="578">
        <v>4</v>
      </c>
      <c r="B50" s="589" t="s">
        <v>8</v>
      </c>
      <c r="C50" s="582">
        <v>0</v>
      </c>
      <c r="D50" s="582">
        <v>0</v>
      </c>
      <c r="E50" s="582">
        <v>0</v>
      </c>
      <c r="F50" s="582">
        <f t="shared" si="21"/>
        <v>0</v>
      </c>
      <c r="G50" s="582">
        <v>0</v>
      </c>
      <c r="H50" s="582">
        <v>322</v>
      </c>
      <c r="I50" s="582">
        <v>32.53</v>
      </c>
      <c r="J50" s="582">
        <f t="shared" si="22"/>
        <v>354.53</v>
      </c>
      <c r="K50" s="588" t="s">
        <v>908</v>
      </c>
      <c r="L50" s="1756">
        <v>4</v>
      </c>
      <c r="M50" s="1757" t="s">
        <v>908</v>
      </c>
      <c r="N50" s="1758">
        <v>0</v>
      </c>
      <c r="O50" s="1758">
        <v>0</v>
      </c>
      <c r="P50" s="1758">
        <v>0</v>
      </c>
      <c r="Q50" s="1758">
        <v>0</v>
      </c>
      <c r="R50" s="1758">
        <f t="shared" si="23"/>
        <v>0</v>
      </c>
      <c r="S50" s="1758">
        <v>0</v>
      </c>
      <c r="T50" s="1758">
        <v>322</v>
      </c>
      <c r="U50" s="1758">
        <v>32.53</v>
      </c>
      <c r="V50" s="1758">
        <f t="shared" si="24"/>
        <v>354.53</v>
      </c>
      <c r="W50" s="1759" t="s">
        <v>8</v>
      </c>
    </row>
    <row r="51" spans="1:23" s="558" customFormat="1">
      <c r="A51" s="578">
        <v>5</v>
      </c>
      <c r="B51" s="589" t="s">
        <v>30</v>
      </c>
      <c r="C51" s="582">
        <v>0</v>
      </c>
      <c r="D51" s="582">
        <v>0</v>
      </c>
      <c r="E51" s="582">
        <v>0</v>
      </c>
      <c r="F51" s="582">
        <f t="shared" si="21"/>
        <v>0</v>
      </c>
      <c r="G51" s="582">
        <v>0</v>
      </c>
      <c r="H51" s="582">
        <v>0</v>
      </c>
      <c r="I51" s="582">
        <v>36.47</v>
      </c>
      <c r="J51" s="582">
        <f t="shared" si="22"/>
        <v>36.47</v>
      </c>
      <c r="K51" s="588" t="s">
        <v>217</v>
      </c>
      <c r="L51" s="1585">
        <v>5</v>
      </c>
      <c r="M51" s="1586" t="s">
        <v>217</v>
      </c>
      <c r="N51" s="1587">
        <v>0</v>
      </c>
      <c r="O51" s="1587">
        <v>0</v>
      </c>
      <c r="P51" s="1587">
        <v>0</v>
      </c>
      <c r="Q51" s="1587">
        <v>0</v>
      </c>
      <c r="R51" s="1587">
        <f t="shared" si="23"/>
        <v>0</v>
      </c>
      <c r="S51" s="1587">
        <v>0</v>
      </c>
      <c r="T51" s="1587">
        <v>0</v>
      </c>
      <c r="U51" s="1587">
        <v>36.47</v>
      </c>
      <c r="V51" s="1587">
        <f t="shared" si="24"/>
        <v>36.47</v>
      </c>
      <c r="W51" s="1588" t="s">
        <v>30</v>
      </c>
    </row>
    <row r="52" spans="1:23" s="558" customFormat="1">
      <c r="A52" s="578">
        <v>6</v>
      </c>
      <c r="B52" s="589" t="s">
        <v>31</v>
      </c>
      <c r="C52" s="582">
        <v>0</v>
      </c>
      <c r="D52" s="582">
        <v>0</v>
      </c>
      <c r="E52" s="582">
        <v>0</v>
      </c>
      <c r="F52" s="582">
        <f t="shared" si="21"/>
        <v>0</v>
      </c>
      <c r="G52" s="582">
        <v>0</v>
      </c>
      <c r="H52" s="582">
        <v>0</v>
      </c>
      <c r="I52" s="582">
        <v>30.67</v>
      </c>
      <c r="J52" s="582">
        <f t="shared" si="22"/>
        <v>30.67</v>
      </c>
      <c r="K52" s="588" t="s">
        <v>139</v>
      </c>
      <c r="L52" s="1242">
        <v>6</v>
      </c>
      <c r="M52" s="580" t="s">
        <v>139</v>
      </c>
      <c r="N52" s="579">
        <v>0</v>
      </c>
      <c r="O52" s="579">
        <v>0</v>
      </c>
      <c r="P52" s="579">
        <v>0</v>
      </c>
      <c r="Q52" s="579">
        <v>0</v>
      </c>
      <c r="R52" s="579">
        <f t="shared" si="23"/>
        <v>0</v>
      </c>
      <c r="S52" s="579">
        <v>0</v>
      </c>
      <c r="T52" s="579">
        <v>0</v>
      </c>
      <c r="U52" s="579">
        <v>30.67</v>
      </c>
      <c r="V52" s="579">
        <f t="shared" si="24"/>
        <v>30.67</v>
      </c>
      <c r="W52" s="1243" t="s">
        <v>31</v>
      </c>
    </row>
    <row r="53" spans="1:23" s="558" customFormat="1">
      <c r="A53" s="578">
        <v>7</v>
      </c>
      <c r="B53" s="589" t="s">
        <v>34</v>
      </c>
      <c r="C53" s="582">
        <v>0</v>
      </c>
      <c r="D53" s="582">
        <v>169.5</v>
      </c>
      <c r="E53" s="582">
        <v>0</v>
      </c>
      <c r="F53" s="582">
        <f t="shared" si="21"/>
        <v>169.5</v>
      </c>
      <c r="G53" s="582">
        <v>0</v>
      </c>
      <c r="H53" s="582">
        <v>0</v>
      </c>
      <c r="I53" s="582">
        <v>16.010000000000002</v>
      </c>
      <c r="J53" s="582">
        <f t="shared" si="22"/>
        <v>185.51</v>
      </c>
      <c r="K53" s="588" t="s">
        <v>1136</v>
      </c>
      <c r="L53" s="1242">
        <v>7</v>
      </c>
      <c r="M53" s="580" t="s">
        <v>1136</v>
      </c>
      <c r="N53" s="579">
        <v>0</v>
      </c>
      <c r="O53" s="579">
        <v>0</v>
      </c>
      <c r="P53" s="579">
        <v>137</v>
      </c>
      <c r="Q53" s="579">
        <v>0</v>
      </c>
      <c r="R53" s="579">
        <f t="shared" si="23"/>
        <v>137</v>
      </c>
      <c r="S53" s="579">
        <v>0</v>
      </c>
      <c r="T53" s="579">
        <v>0</v>
      </c>
      <c r="U53" s="579">
        <v>16.010000000000002</v>
      </c>
      <c r="V53" s="579">
        <f t="shared" si="24"/>
        <v>153.01</v>
      </c>
      <c r="W53" s="1243" t="s">
        <v>34</v>
      </c>
    </row>
    <row r="54" spans="1:23" s="558" customFormat="1">
      <c r="A54" s="578">
        <v>8</v>
      </c>
      <c r="B54" s="589" t="s">
        <v>1125</v>
      </c>
      <c r="C54" s="582">
        <v>0</v>
      </c>
      <c r="D54" s="582">
        <v>24.5</v>
      </c>
      <c r="E54" s="582">
        <v>0</v>
      </c>
      <c r="F54" s="582">
        <f t="shared" si="21"/>
        <v>24.5</v>
      </c>
      <c r="G54" s="582">
        <v>0</v>
      </c>
      <c r="H54" s="582">
        <v>0</v>
      </c>
      <c r="I54" s="582">
        <v>100.95</v>
      </c>
      <c r="J54" s="582">
        <f t="shared" si="22"/>
        <v>125.45</v>
      </c>
      <c r="K54" s="588" t="s">
        <v>1135</v>
      </c>
      <c r="L54" s="1242">
        <v>8</v>
      </c>
      <c r="M54" s="580" t="s">
        <v>1135</v>
      </c>
      <c r="N54" s="579">
        <v>0</v>
      </c>
      <c r="O54" s="579">
        <v>0</v>
      </c>
      <c r="P54" s="579">
        <v>0</v>
      </c>
      <c r="Q54" s="579">
        <v>0</v>
      </c>
      <c r="R54" s="579">
        <f t="shared" si="23"/>
        <v>0</v>
      </c>
      <c r="S54" s="579">
        <v>0</v>
      </c>
      <c r="T54" s="579">
        <v>0</v>
      </c>
      <c r="U54" s="579">
        <v>210</v>
      </c>
      <c r="V54" s="579">
        <f t="shared" si="24"/>
        <v>210</v>
      </c>
      <c r="W54" s="1243" t="s">
        <v>1125</v>
      </c>
    </row>
    <row r="55" spans="1:23" s="558" customFormat="1">
      <c r="A55" s="578">
        <v>9</v>
      </c>
      <c r="B55" s="589" t="s">
        <v>1123</v>
      </c>
      <c r="C55" s="582">
        <v>770.02</v>
      </c>
      <c r="D55" s="582">
        <v>1253.5999999999999</v>
      </c>
      <c r="E55" s="582">
        <v>0</v>
      </c>
      <c r="F55" s="582">
        <f t="shared" si="21"/>
        <v>2023.62</v>
      </c>
      <c r="G55" s="582">
        <v>0</v>
      </c>
      <c r="H55" s="582">
        <v>1155</v>
      </c>
      <c r="I55" s="582">
        <v>30</v>
      </c>
      <c r="J55" s="582">
        <f t="shared" si="22"/>
        <v>3208.62</v>
      </c>
      <c r="K55" s="588" t="s">
        <v>1134</v>
      </c>
      <c r="L55" s="1242">
        <v>9</v>
      </c>
      <c r="M55" s="580" t="s">
        <v>1134</v>
      </c>
      <c r="N55" s="579">
        <v>770.02</v>
      </c>
      <c r="O55" s="579">
        <v>0</v>
      </c>
      <c r="P55" s="579">
        <v>1253.5999999999999</v>
      </c>
      <c r="Q55" s="579">
        <v>0</v>
      </c>
      <c r="R55" s="579">
        <f t="shared" si="23"/>
        <v>2023.62</v>
      </c>
      <c r="S55" s="579">
        <v>0</v>
      </c>
      <c r="T55" s="579">
        <v>1522</v>
      </c>
      <c r="U55" s="579">
        <v>30</v>
      </c>
      <c r="V55" s="579">
        <f t="shared" si="24"/>
        <v>3575.62</v>
      </c>
      <c r="W55" s="1243" t="s">
        <v>1123</v>
      </c>
    </row>
    <row r="56" spans="1:23" s="558" customFormat="1" ht="14.25" customHeight="1">
      <c r="A56" s="577"/>
      <c r="B56" s="577" t="s">
        <v>1133</v>
      </c>
      <c r="C56" s="576">
        <f t="shared" ref="C56:J56" si="25">SUM(C57:C58)+C59+C60</f>
        <v>0</v>
      </c>
      <c r="D56" s="576">
        <f t="shared" si="25"/>
        <v>0</v>
      </c>
      <c r="E56" s="576">
        <f t="shared" si="25"/>
        <v>40.049999999999997</v>
      </c>
      <c r="F56" s="576">
        <f t="shared" si="25"/>
        <v>40.049999999999997</v>
      </c>
      <c r="G56" s="576">
        <f t="shared" si="25"/>
        <v>0</v>
      </c>
      <c r="H56" s="576">
        <f t="shared" si="25"/>
        <v>0</v>
      </c>
      <c r="I56" s="576">
        <f t="shared" si="25"/>
        <v>18.189999999999998</v>
      </c>
      <c r="J56" s="576">
        <f t="shared" si="25"/>
        <v>58.24</v>
      </c>
      <c r="K56" s="575" t="s">
        <v>1131</v>
      </c>
      <c r="L56" s="1242" t="s">
        <v>1132</v>
      </c>
      <c r="M56" s="574" t="s">
        <v>1131</v>
      </c>
      <c r="N56" s="573">
        <f t="shared" ref="N56:V56" si="26">SUM(N57:N58)+N59+N60</f>
        <v>0</v>
      </c>
      <c r="O56" s="573">
        <f t="shared" si="26"/>
        <v>0</v>
      </c>
      <c r="P56" s="573">
        <f t="shared" si="26"/>
        <v>0</v>
      </c>
      <c r="Q56" s="573">
        <f t="shared" si="26"/>
        <v>40.049999999999997</v>
      </c>
      <c r="R56" s="573">
        <f t="shared" si="26"/>
        <v>40.049999999999997</v>
      </c>
      <c r="S56" s="573">
        <f t="shared" si="26"/>
        <v>0</v>
      </c>
      <c r="T56" s="573">
        <f t="shared" si="26"/>
        <v>0</v>
      </c>
      <c r="U56" s="573">
        <f t="shared" si="26"/>
        <v>38.01</v>
      </c>
      <c r="V56" s="573">
        <f t="shared" si="26"/>
        <v>78.059999999999988</v>
      </c>
      <c r="W56" s="1244" t="s">
        <v>1130</v>
      </c>
    </row>
    <row r="57" spans="1:23" s="558" customFormat="1" ht="29.25" customHeight="1">
      <c r="A57" s="584">
        <v>1</v>
      </c>
      <c r="B57" s="587" t="s">
        <v>1128</v>
      </c>
      <c r="C57" s="582">
        <v>0</v>
      </c>
      <c r="D57" s="582">
        <v>0</v>
      </c>
      <c r="E57" s="582">
        <v>40.049999999999997</v>
      </c>
      <c r="F57" s="582">
        <f>C57+D57+E57</f>
        <v>40.049999999999997</v>
      </c>
      <c r="G57" s="582">
        <v>0</v>
      </c>
      <c r="H57" s="582">
        <v>0</v>
      </c>
      <c r="I57" s="582">
        <v>5.25</v>
      </c>
      <c r="J57" s="582">
        <f>G57+H57+I57+F57</f>
        <v>45.3</v>
      </c>
      <c r="K57" s="586" t="s">
        <v>1129</v>
      </c>
      <c r="L57" s="1245">
        <v>1</v>
      </c>
      <c r="M57" s="585" t="s">
        <v>1129</v>
      </c>
      <c r="N57" s="579">
        <v>0</v>
      </c>
      <c r="O57" s="579">
        <v>0</v>
      </c>
      <c r="P57" s="579">
        <v>0</v>
      </c>
      <c r="Q57" s="579">
        <v>40.049999999999997</v>
      </c>
      <c r="R57" s="579">
        <f>N57+P57+Q57</f>
        <v>40.049999999999997</v>
      </c>
      <c r="S57" s="579">
        <v>0</v>
      </c>
      <c r="T57" s="579">
        <v>0</v>
      </c>
      <c r="U57" s="579">
        <v>5.25</v>
      </c>
      <c r="V57" s="579">
        <f>S57+T57+U57+R57</f>
        <v>45.3</v>
      </c>
      <c r="W57" s="1246" t="s">
        <v>1128</v>
      </c>
    </row>
    <row r="58" spans="1:23" s="558" customFormat="1">
      <c r="A58" s="584">
        <v>2</v>
      </c>
      <c r="B58" s="583" t="s">
        <v>7</v>
      </c>
      <c r="C58" s="582">
        <v>0</v>
      </c>
      <c r="D58" s="582">
        <v>0</v>
      </c>
      <c r="E58" s="582">
        <v>0</v>
      </c>
      <c r="F58" s="582">
        <f>C58+D58+E58</f>
        <v>0</v>
      </c>
      <c r="G58" s="582">
        <v>0</v>
      </c>
      <c r="H58" s="582">
        <v>0</v>
      </c>
      <c r="I58" s="582">
        <v>0</v>
      </c>
      <c r="J58" s="582">
        <f>G58+H58+I58+F58</f>
        <v>0</v>
      </c>
      <c r="K58" s="581" t="s">
        <v>1127</v>
      </c>
      <c r="L58" s="1245">
        <v>2</v>
      </c>
      <c r="M58" s="580" t="s">
        <v>1127</v>
      </c>
      <c r="N58" s="579">
        <v>0</v>
      </c>
      <c r="O58" s="579">
        <v>0</v>
      </c>
      <c r="P58" s="579">
        <v>0</v>
      </c>
      <c r="Q58" s="579">
        <v>0</v>
      </c>
      <c r="R58" s="579">
        <f>N58+P58+Q58</f>
        <v>0</v>
      </c>
      <c r="S58" s="579">
        <v>0</v>
      </c>
      <c r="T58" s="579">
        <v>0</v>
      </c>
      <c r="U58" s="579">
        <v>0</v>
      </c>
      <c r="V58" s="579">
        <f>S58+T58+U58+R58</f>
        <v>0</v>
      </c>
      <c r="W58" s="1247" t="s">
        <v>7</v>
      </c>
    </row>
    <row r="59" spans="1:23" s="558" customFormat="1">
      <c r="A59" s="584">
        <v>3</v>
      </c>
      <c r="B59" s="583" t="s">
        <v>1125</v>
      </c>
      <c r="C59" s="582">
        <v>0</v>
      </c>
      <c r="D59" s="582">
        <v>0</v>
      </c>
      <c r="E59" s="582">
        <v>0</v>
      </c>
      <c r="F59" s="582">
        <f>C59+D59+E59</f>
        <v>0</v>
      </c>
      <c r="G59" s="582">
        <v>0</v>
      </c>
      <c r="H59" s="582">
        <v>0</v>
      </c>
      <c r="I59" s="582">
        <v>7.84</v>
      </c>
      <c r="J59" s="582">
        <f>G59+H59+I59+F59</f>
        <v>7.84</v>
      </c>
      <c r="K59" s="581" t="s">
        <v>1126</v>
      </c>
      <c r="L59" s="1245">
        <v>3</v>
      </c>
      <c r="M59" s="580" t="s">
        <v>1126</v>
      </c>
      <c r="N59" s="579">
        <v>0</v>
      </c>
      <c r="O59" s="579">
        <v>0</v>
      </c>
      <c r="P59" s="579">
        <v>0</v>
      </c>
      <c r="Q59" s="579">
        <v>0</v>
      </c>
      <c r="R59" s="579">
        <f>N59+P59+Q59</f>
        <v>0</v>
      </c>
      <c r="S59" s="579">
        <v>0</v>
      </c>
      <c r="T59" s="579">
        <v>0</v>
      </c>
      <c r="U59" s="579">
        <v>27.66</v>
      </c>
      <c r="V59" s="579">
        <f>S59+T59+U59+R59</f>
        <v>27.66</v>
      </c>
      <c r="W59" s="1247" t="s">
        <v>1125</v>
      </c>
    </row>
    <row r="60" spans="1:23" s="558" customFormat="1">
      <c r="A60" s="584">
        <v>4</v>
      </c>
      <c r="B60" s="583" t="s">
        <v>1123</v>
      </c>
      <c r="C60" s="582">
        <v>0</v>
      </c>
      <c r="D60" s="582">
        <v>0</v>
      </c>
      <c r="E60" s="582">
        <v>0</v>
      </c>
      <c r="F60" s="582">
        <f>C60+D60+E60</f>
        <v>0</v>
      </c>
      <c r="G60" s="582">
        <v>0</v>
      </c>
      <c r="H60" s="582">
        <v>0</v>
      </c>
      <c r="I60" s="582">
        <v>5.0999999999999996</v>
      </c>
      <c r="J60" s="582">
        <f>G60+H60+I60+F60</f>
        <v>5.0999999999999996</v>
      </c>
      <c r="K60" s="581" t="s">
        <v>1124</v>
      </c>
      <c r="L60" s="1245">
        <v>4</v>
      </c>
      <c r="M60" s="580" t="s">
        <v>1124</v>
      </c>
      <c r="N60" s="579">
        <v>0</v>
      </c>
      <c r="O60" s="579">
        <v>0</v>
      </c>
      <c r="P60" s="579">
        <v>0</v>
      </c>
      <c r="Q60" s="579">
        <v>0</v>
      </c>
      <c r="R60" s="579">
        <f>N60+P60+Q60</f>
        <v>0</v>
      </c>
      <c r="S60" s="579">
        <v>0</v>
      </c>
      <c r="T60" s="579">
        <v>0</v>
      </c>
      <c r="U60" s="579">
        <v>5.0999999999999996</v>
      </c>
      <c r="V60" s="579">
        <f>S60+T60+U60+R60</f>
        <v>5.0999999999999996</v>
      </c>
      <c r="W60" s="1247" t="s">
        <v>1123</v>
      </c>
    </row>
    <row r="61" spans="1:23" s="558" customFormat="1">
      <c r="A61" s="578"/>
      <c r="B61" s="577" t="s">
        <v>1122</v>
      </c>
      <c r="C61" s="576">
        <f t="shared" ref="C61:I61" si="27">C5+C17+C27+C37+C46+C56</f>
        <v>198524.49999999997</v>
      </c>
      <c r="D61" s="576">
        <f t="shared" si="27"/>
        <v>24955.360000000001</v>
      </c>
      <c r="E61" s="576">
        <f t="shared" si="27"/>
        <v>509.71</v>
      </c>
      <c r="F61" s="576">
        <f t="shared" si="27"/>
        <v>224479.56999999998</v>
      </c>
      <c r="G61" s="576">
        <f t="shared" si="27"/>
        <v>6780</v>
      </c>
      <c r="H61" s="576">
        <f t="shared" si="27"/>
        <v>45699.22</v>
      </c>
      <c r="I61" s="576">
        <f t="shared" si="27"/>
        <v>87027.7</v>
      </c>
      <c r="J61" s="576">
        <f>F61+G61+H61+I61-0.01</f>
        <v>363986.48</v>
      </c>
      <c r="K61" s="575" t="s">
        <v>1005</v>
      </c>
      <c r="L61" s="1242"/>
      <c r="M61" s="574" t="s">
        <v>1005</v>
      </c>
      <c r="N61" s="573">
        <f t="shared" ref="N61:U61" si="28">N5+N17+N27+N37+N46+N56</f>
        <v>204079.49999999997</v>
      </c>
      <c r="O61" s="573">
        <f t="shared" si="28"/>
        <v>6620</v>
      </c>
      <c r="P61" s="573">
        <f t="shared" si="28"/>
        <v>24899.51</v>
      </c>
      <c r="Q61" s="573">
        <f t="shared" si="28"/>
        <v>509.71</v>
      </c>
      <c r="R61" s="573">
        <f t="shared" si="28"/>
        <v>236108.72999999998</v>
      </c>
      <c r="S61" s="573">
        <f t="shared" si="28"/>
        <v>6780</v>
      </c>
      <c r="T61" s="573">
        <f t="shared" si="28"/>
        <v>46722.52</v>
      </c>
      <c r="U61" s="573">
        <f t="shared" si="28"/>
        <v>109884.65200000002</v>
      </c>
      <c r="V61" s="573">
        <f>R61+S61+T61+U61-0.01</f>
        <v>399495.89199999999</v>
      </c>
      <c r="W61" s="1244" t="s">
        <v>1122</v>
      </c>
    </row>
    <row r="62" spans="1:23" s="558" customFormat="1" ht="18" customHeight="1">
      <c r="A62" s="572"/>
      <c r="B62" s="571"/>
      <c r="C62" s="570"/>
      <c r="D62" s="570"/>
      <c r="E62" s="570"/>
      <c r="F62" s="570"/>
      <c r="G62" s="570"/>
      <c r="H62" s="570"/>
      <c r="I62" s="570"/>
      <c r="J62" s="570"/>
      <c r="K62" s="568"/>
      <c r="L62" s="569" t="s">
        <v>1121</v>
      </c>
      <c r="M62" s="568"/>
      <c r="N62" s="1248"/>
      <c r="O62" s="1248"/>
      <c r="P62" s="1248"/>
      <c r="Q62" s="1248"/>
      <c r="R62" s="1248"/>
      <c r="S62" s="1248"/>
      <c r="T62" s="1248"/>
      <c r="U62" s="1248"/>
      <c r="V62" s="1248"/>
      <c r="W62" s="567"/>
    </row>
    <row r="63" spans="1:23" s="558" customFormat="1" ht="18" customHeight="1">
      <c r="A63" s="566" t="s">
        <v>1120</v>
      </c>
      <c r="C63" s="558" t="s">
        <v>1119</v>
      </c>
      <c r="K63" s="563"/>
      <c r="L63" s="565" t="s">
        <v>1118</v>
      </c>
      <c r="M63" s="563"/>
      <c r="N63" s="563"/>
      <c r="O63" s="563"/>
      <c r="P63" s="563"/>
      <c r="Q63" s="563"/>
      <c r="R63" s="563"/>
      <c r="S63" s="563"/>
      <c r="T63" s="563"/>
      <c r="U63" s="563"/>
      <c r="V63" s="563"/>
      <c r="W63" s="564"/>
    </row>
    <row r="64" spans="1:23" s="558" customFormat="1" ht="18" customHeight="1" thickBot="1">
      <c r="A64" s="558" t="s">
        <v>993</v>
      </c>
      <c r="E64" s="404" t="s">
        <v>999</v>
      </c>
      <c r="K64" s="563"/>
      <c r="L64" s="562" t="s">
        <v>1117</v>
      </c>
      <c r="M64" s="560"/>
      <c r="N64" s="560"/>
      <c r="O64" s="560"/>
      <c r="P64" s="560"/>
      <c r="Q64" s="561"/>
      <c r="R64" s="560"/>
      <c r="S64" s="560"/>
      <c r="T64" s="560"/>
      <c r="U64" s="560"/>
      <c r="V64" s="560"/>
      <c r="W64" s="559"/>
    </row>
    <row r="65" ht="15.75" thickTop="1"/>
  </sheetData>
  <mergeCells count="23">
    <mergeCell ref="L3:L4"/>
    <mergeCell ref="M3:M4"/>
    <mergeCell ref="A1:J1"/>
    <mergeCell ref="L1:W1"/>
    <mergeCell ref="F2:H2"/>
    <mergeCell ref="R2:T2"/>
    <mergeCell ref="V2:W2"/>
    <mergeCell ref="A3:A4"/>
    <mergeCell ref="B3:B4"/>
    <mergeCell ref="C3:E3"/>
    <mergeCell ref="F3:F4"/>
    <mergeCell ref="G3:G4"/>
    <mergeCell ref="H3:H4"/>
    <mergeCell ref="I3:I4"/>
    <mergeCell ref="J3:J4"/>
    <mergeCell ref="K3:K4"/>
    <mergeCell ref="W3:W4"/>
    <mergeCell ref="N3:Q3"/>
    <mergeCell ref="R3:R4"/>
    <mergeCell ref="S3:S4"/>
    <mergeCell ref="T3:T4"/>
    <mergeCell ref="U3:U4"/>
    <mergeCell ref="V3:V4"/>
  </mergeCells>
  <conditionalFormatting sqref="Y5:XFD61 A5:W61">
    <cfRule type="expression" dxfId="95" priority="1">
      <formula>MOD(ROW(),3)=1</formula>
    </cfRule>
  </conditionalFormatting>
  <printOptions horizontalCentered="1"/>
  <pageMargins left="0.23622047244094491" right="0.23622047244094491" top="0.74803149606299213" bottom="0.74803149606299213" header="0.31496062992125984" footer="0.31496062992125984"/>
  <pageSetup paperSize="9" scale="96" firstPageNumber="90" fitToHeight="0" pageOrder="overThenDown" orientation="landscape" r:id="rId1"/>
  <colBreaks count="1" manualBreakCount="1">
    <brk id="11" max="64" man="1"/>
  </col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021E8-8117-43E2-80F8-C787CD70FDD9}">
  <sheetPr>
    <pageSetUpPr fitToPage="1"/>
  </sheetPr>
  <dimension ref="A1:P50"/>
  <sheetViews>
    <sheetView view="pageBreakPreview" zoomScaleSheetLayoutView="100" workbookViewId="0">
      <selection activeCell="S17" sqref="S17"/>
    </sheetView>
  </sheetViews>
  <sheetFormatPr defaultColWidth="9" defaultRowHeight="15"/>
  <cols>
    <col min="1" max="1" width="7.85546875" style="1107" customWidth="1"/>
    <col min="2" max="2" width="12.42578125" style="1108" customWidth="1"/>
    <col min="3" max="4" width="12.42578125" style="1107" customWidth="1"/>
    <col min="5" max="5" width="8.42578125" style="1107" customWidth="1"/>
    <col min="6" max="11" width="12.42578125" style="1107" customWidth="1"/>
    <col min="12" max="16384" width="9" style="1107"/>
  </cols>
  <sheetData>
    <row r="1" spans="1:16" s="1110" customFormat="1" ht="34.5" customHeight="1" thickTop="1">
      <c r="A1" s="2059" t="s">
        <v>2584</v>
      </c>
      <c r="B1" s="2060"/>
      <c r="C1" s="2060"/>
      <c r="D1" s="2060"/>
      <c r="E1" s="2060"/>
      <c r="F1" s="2060"/>
      <c r="G1" s="2060"/>
      <c r="H1" s="2060"/>
      <c r="I1" s="2060"/>
      <c r="J1" s="2060"/>
      <c r="K1" s="2061"/>
    </row>
    <row r="2" spans="1:16" s="1110" customFormat="1" ht="18.75" customHeight="1">
      <c r="A2" s="619"/>
      <c r="B2" s="1249"/>
      <c r="C2" s="1249"/>
      <c r="D2" s="1249"/>
      <c r="E2" s="1249"/>
      <c r="F2" s="1249"/>
      <c r="G2" s="1249"/>
      <c r="H2" s="1249"/>
      <c r="I2" s="2062" t="s">
        <v>1232</v>
      </c>
      <c r="J2" s="2062"/>
      <c r="K2" s="2063"/>
    </row>
    <row r="3" spans="1:16" s="1120" customFormat="1" ht="32.25" customHeight="1">
      <c r="A3" s="2064" t="s">
        <v>686</v>
      </c>
      <c r="B3" s="2052" t="s">
        <v>1231</v>
      </c>
      <c r="C3" s="2052" t="s">
        <v>1230</v>
      </c>
      <c r="D3" s="2065" t="s">
        <v>1172</v>
      </c>
      <c r="E3" s="2065"/>
      <c r="F3" s="2065"/>
      <c r="G3" s="2065"/>
      <c r="H3" s="2065"/>
      <c r="I3" s="2052" t="s">
        <v>1229</v>
      </c>
      <c r="J3" s="2052" t="s">
        <v>1228</v>
      </c>
      <c r="K3" s="2066" t="s">
        <v>1167</v>
      </c>
    </row>
    <row r="4" spans="1:16" s="1120" customFormat="1" ht="33.75" customHeight="1">
      <c r="A4" s="2064"/>
      <c r="B4" s="2052" t="s">
        <v>1227</v>
      </c>
      <c r="C4" s="2052"/>
      <c r="D4" s="1134" t="s">
        <v>1226</v>
      </c>
      <c r="E4" s="1134" t="s">
        <v>2609</v>
      </c>
      <c r="F4" s="1134" t="s">
        <v>1161</v>
      </c>
      <c r="G4" s="1134" t="s">
        <v>1225</v>
      </c>
      <c r="H4" s="1134" t="s">
        <v>1224</v>
      </c>
      <c r="I4" s="2052"/>
      <c r="J4" s="2052"/>
      <c r="K4" s="2066"/>
    </row>
    <row r="5" spans="1:16" s="1110" customFormat="1" ht="20.25" customHeight="1">
      <c r="A5" s="610">
        <v>1</v>
      </c>
      <c r="B5" s="609" t="s">
        <v>1223</v>
      </c>
      <c r="C5" s="607">
        <v>508</v>
      </c>
      <c r="D5" s="607">
        <v>756</v>
      </c>
      <c r="E5" s="617" t="s">
        <v>1412</v>
      </c>
      <c r="F5" s="607">
        <v>0</v>
      </c>
      <c r="G5" s="607">
        <v>98</v>
      </c>
      <c r="H5" s="607">
        <f t="shared" ref="H5:H26" si="0">D5+F5+G5</f>
        <v>854</v>
      </c>
      <c r="I5" s="607">
        <v>0</v>
      </c>
      <c r="J5" s="607">
        <v>0</v>
      </c>
      <c r="K5" s="618">
        <f t="shared" ref="K5:K10" si="1">H5+C5</f>
        <v>1362</v>
      </c>
      <c r="L5" s="1109"/>
      <c r="M5" s="1109"/>
      <c r="N5" s="1109"/>
      <c r="P5" s="1109"/>
    </row>
    <row r="6" spans="1:16" s="1110" customFormat="1" ht="20.25" customHeight="1">
      <c r="A6" s="610">
        <v>2</v>
      </c>
      <c r="B6" s="609" t="s">
        <v>1222</v>
      </c>
      <c r="C6" s="607">
        <v>560</v>
      </c>
      <c r="D6" s="607">
        <v>1004</v>
      </c>
      <c r="E6" s="617" t="s">
        <v>1412</v>
      </c>
      <c r="F6" s="607">
        <v>0</v>
      </c>
      <c r="G6" s="607">
        <v>149</v>
      </c>
      <c r="H6" s="607">
        <f t="shared" si="0"/>
        <v>1153</v>
      </c>
      <c r="I6" s="607">
        <v>0</v>
      </c>
      <c r="J6" s="607">
        <v>0</v>
      </c>
      <c r="K6" s="618">
        <f t="shared" si="1"/>
        <v>1713</v>
      </c>
      <c r="L6" s="1109"/>
      <c r="M6" s="1109"/>
      <c r="N6" s="1109"/>
      <c r="P6" s="1109"/>
    </row>
    <row r="7" spans="1:16" s="1110" customFormat="1" ht="20.25" customHeight="1">
      <c r="A7" s="610">
        <v>3</v>
      </c>
      <c r="B7" s="609" t="s">
        <v>1221</v>
      </c>
      <c r="C7" s="607">
        <v>1061</v>
      </c>
      <c r="D7" s="607">
        <v>1597</v>
      </c>
      <c r="E7" s="617" t="s">
        <v>1412</v>
      </c>
      <c r="F7" s="607">
        <v>0</v>
      </c>
      <c r="G7" s="607">
        <v>228</v>
      </c>
      <c r="H7" s="607">
        <f t="shared" si="0"/>
        <v>1825</v>
      </c>
      <c r="I7" s="607">
        <v>0</v>
      </c>
      <c r="J7" s="607">
        <v>0</v>
      </c>
      <c r="K7" s="618">
        <f t="shared" si="1"/>
        <v>2886</v>
      </c>
      <c r="L7" s="1109"/>
      <c r="M7" s="1109"/>
      <c r="N7" s="1109"/>
      <c r="P7" s="1109"/>
    </row>
    <row r="8" spans="1:16" s="1110" customFormat="1" ht="20.25" customHeight="1">
      <c r="A8" s="610">
        <v>4</v>
      </c>
      <c r="B8" s="609" t="s">
        <v>1220</v>
      </c>
      <c r="C8" s="607">
        <v>1917</v>
      </c>
      <c r="D8" s="607">
        <v>2436</v>
      </c>
      <c r="E8" s="617" t="s">
        <v>1412</v>
      </c>
      <c r="F8" s="607">
        <v>0</v>
      </c>
      <c r="G8" s="607">
        <v>300</v>
      </c>
      <c r="H8" s="607">
        <f t="shared" si="0"/>
        <v>2736</v>
      </c>
      <c r="I8" s="607">
        <v>0</v>
      </c>
      <c r="J8" s="607">
        <v>0</v>
      </c>
      <c r="K8" s="618">
        <f t="shared" si="1"/>
        <v>4653</v>
      </c>
      <c r="L8" s="1109"/>
      <c r="M8" s="1109"/>
      <c r="N8" s="1109"/>
      <c r="P8" s="1109"/>
    </row>
    <row r="9" spans="1:16" s="1110" customFormat="1" ht="20.25" customHeight="1">
      <c r="A9" s="610">
        <v>5</v>
      </c>
      <c r="B9" s="609" t="s">
        <v>1219</v>
      </c>
      <c r="C9" s="607">
        <v>4124</v>
      </c>
      <c r="D9" s="607">
        <v>4417</v>
      </c>
      <c r="E9" s="617" t="s">
        <v>1412</v>
      </c>
      <c r="F9" s="607">
        <v>134</v>
      </c>
      <c r="G9" s="607">
        <v>352</v>
      </c>
      <c r="H9" s="607">
        <f t="shared" si="0"/>
        <v>4903</v>
      </c>
      <c r="I9" s="607">
        <v>0</v>
      </c>
      <c r="J9" s="607">
        <v>0</v>
      </c>
      <c r="K9" s="618">
        <f t="shared" si="1"/>
        <v>9027</v>
      </c>
      <c r="L9" s="1109"/>
      <c r="M9" s="1109"/>
      <c r="N9" s="1109"/>
      <c r="P9" s="1109"/>
    </row>
    <row r="10" spans="1:16" s="1110" customFormat="1" ht="20.25" customHeight="1">
      <c r="A10" s="610">
        <v>6</v>
      </c>
      <c r="B10" s="609" t="s">
        <v>1218</v>
      </c>
      <c r="C10" s="607">
        <v>5907</v>
      </c>
      <c r="D10" s="607">
        <v>6640</v>
      </c>
      <c r="E10" s="617" t="s">
        <v>1412</v>
      </c>
      <c r="F10" s="607">
        <v>134</v>
      </c>
      <c r="G10" s="607">
        <v>276</v>
      </c>
      <c r="H10" s="607">
        <f t="shared" si="0"/>
        <v>7050</v>
      </c>
      <c r="I10" s="607">
        <v>0</v>
      </c>
      <c r="J10" s="607">
        <v>0</v>
      </c>
      <c r="K10" s="618">
        <f t="shared" si="1"/>
        <v>12957</v>
      </c>
      <c r="L10" s="1109"/>
      <c r="M10" s="1109"/>
      <c r="N10" s="1109"/>
      <c r="P10" s="1109"/>
    </row>
    <row r="11" spans="1:16" s="1110" customFormat="1" ht="20.25" customHeight="1">
      <c r="A11" s="610">
        <v>7</v>
      </c>
      <c r="B11" s="609" t="s">
        <v>1217</v>
      </c>
      <c r="C11" s="607">
        <v>6966</v>
      </c>
      <c r="D11" s="607">
        <v>8652</v>
      </c>
      <c r="E11" s="617" t="s">
        <v>1412</v>
      </c>
      <c r="F11" s="607">
        <v>165</v>
      </c>
      <c r="G11" s="607">
        <v>241</v>
      </c>
      <c r="H11" s="607">
        <f t="shared" si="0"/>
        <v>9058</v>
      </c>
      <c r="I11" s="607">
        <v>640</v>
      </c>
      <c r="J11" s="607">
        <v>0</v>
      </c>
      <c r="K11" s="618">
        <f>H11+C11+I11+J11</f>
        <v>16664</v>
      </c>
      <c r="L11" s="1109"/>
      <c r="M11" s="1109"/>
      <c r="N11" s="1109"/>
      <c r="P11" s="1109"/>
    </row>
    <row r="12" spans="1:16" s="1110" customFormat="1" ht="20.25" customHeight="1">
      <c r="A12" s="610">
        <v>8</v>
      </c>
      <c r="B12" s="609" t="s">
        <v>1216</v>
      </c>
      <c r="C12" s="607">
        <v>10833</v>
      </c>
      <c r="D12" s="607">
        <v>14875</v>
      </c>
      <c r="E12" s="617" t="s">
        <v>1412</v>
      </c>
      <c r="F12" s="607">
        <v>168</v>
      </c>
      <c r="G12" s="607">
        <v>164</v>
      </c>
      <c r="H12" s="607">
        <f t="shared" si="0"/>
        <v>15207</v>
      </c>
      <c r="I12" s="607">
        <v>640</v>
      </c>
      <c r="J12" s="607">
        <v>0</v>
      </c>
      <c r="K12" s="618">
        <f>H12+C12+I12+J12</f>
        <v>26680</v>
      </c>
      <c r="L12" s="1109"/>
      <c r="M12" s="1109"/>
      <c r="N12" s="1109"/>
      <c r="P12" s="1109"/>
    </row>
    <row r="13" spans="1:16" s="1110" customFormat="1" ht="20.25" customHeight="1">
      <c r="A13" s="610">
        <v>9</v>
      </c>
      <c r="B13" s="609" t="s">
        <v>1215</v>
      </c>
      <c r="C13" s="607">
        <v>11384</v>
      </c>
      <c r="D13" s="607">
        <v>15991</v>
      </c>
      <c r="E13" s="617" t="s">
        <v>1412</v>
      </c>
      <c r="F13" s="607">
        <v>268</v>
      </c>
      <c r="G13" s="607">
        <v>165</v>
      </c>
      <c r="H13" s="607">
        <f t="shared" si="0"/>
        <v>16424</v>
      </c>
      <c r="I13" s="607">
        <v>640</v>
      </c>
      <c r="J13" s="607">
        <v>0</v>
      </c>
      <c r="K13" s="618">
        <f>H13+C13+I13+J13</f>
        <v>28448</v>
      </c>
      <c r="L13" s="1109"/>
      <c r="M13" s="1109"/>
      <c r="N13" s="1109"/>
      <c r="P13" s="1109"/>
    </row>
    <row r="14" spans="1:16" s="1110" customFormat="1" ht="20.25" customHeight="1">
      <c r="A14" s="610">
        <v>10</v>
      </c>
      <c r="B14" s="609" t="s">
        <v>1214</v>
      </c>
      <c r="C14" s="607">
        <v>14460</v>
      </c>
      <c r="D14" s="607">
        <v>26311</v>
      </c>
      <c r="E14" s="617" t="s">
        <v>1412</v>
      </c>
      <c r="F14" s="607">
        <v>542</v>
      </c>
      <c r="G14" s="607">
        <v>177</v>
      </c>
      <c r="H14" s="607">
        <f t="shared" si="0"/>
        <v>27030</v>
      </c>
      <c r="I14" s="607">
        <v>1095</v>
      </c>
      <c r="J14" s="607">
        <v>0</v>
      </c>
      <c r="K14" s="618">
        <f>H14+C14+I14+J14</f>
        <v>42585</v>
      </c>
      <c r="L14" s="598"/>
      <c r="M14" s="598"/>
      <c r="N14" s="598"/>
      <c r="P14" s="598"/>
    </row>
    <row r="15" spans="1:16" s="1110" customFormat="1" ht="20.25" customHeight="1">
      <c r="A15" s="610">
        <v>11</v>
      </c>
      <c r="B15" s="609" t="s">
        <v>1213</v>
      </c>
      <c r="C15" s="607">
        <v>18308</v>
      </c>
      <c r="D15" s="607">
        <v>41237</v>
      </c>
      <c r="E15" s="617" t="s">
        <v>1412</v>
      </c>
      <c r="F15" s="607">
        <v>2343</v>
      </c>
      <c r="G15" s="607">
        <v>165</v>
      </c>
      <c r="H15" s="607">
        <f t="shared" si="0"/>
        <v>43745</v>
      </c>
      <c r="I15" s="607">
        <v>1565</v>
      </c>
      <c r="J15" s="607">
        <v>18</v>
      </c>
      <c r="K15" s="618">
        <v>63636</v>
      </c>
      <c r="L15" s="1109"/>
      <c r="M15" s="1109"/>
      <c r="N15" s="1109"/>
      <c r="P15" s="1109"/>
    </row>
    <row r="16" spans="1:16" s="1110" customFormat="1" ht="20.25" customHeight="1">
      <c r="A16" s="610">
        <v>12</v>
      </c>
      <c r="B16" s="609" t="s">
        <v>1212</v>
      </c>
      <c r="C16" s="607">
        <v>19194</v>
      </c>
      <c r="D16" s="607">
        <v>44791</v>
      </c>
      <c r="E16" s="617" t="s">
        <v>1412</v>
      </c>
      <c r="F16" s="607">
        <v>3095</v>
      </c>
      <c r="G16" s="607">
        <v>168</v>
      </c>
      <c r="H16" s="607">
        <f t="shared" si="0"/>
        <v>48054</v>
      </c>
      <c r="I16" s="607">
        <v>1785</v>
      </c>
      <c r="J16" s="607">
        <v>32</v>
      </c>
      <c r="K16" s="618">
        <f>H16+C16+I16+J16</f>
        <v>69065</v>
      </c>
      <c r="L16" s="1109"/>
      <c r="M16" s="1109"/>
      <c r="N16" s="1109"/>
      <c r="P16" s="1109"/>
    </row>
    <row r="17" spans="1:16" s="1110" customFormat="1" ht="20.25" customHeight="1">
      <c r="A17" s="610">
        <v>13</v>
      </c>
      <c r="B17" s="609" t="s">
        <v>1211</v>
      </c>
      <c r="C17" s="607">
        <v>21658</v>
      </c>
      <c r="D17" s="607">
        <v>54154</v>
      </c>
      <c r="E17" s="617" t="s">
        <v>1412</v>
      </c>
      <c r="F17" s="607">
        <v>6562</v>
      </c>
      <c r="G17" s="607">
        <v>2944</v>
      </c>
      <c r="H17" s="607">
        <f t="shared" si="0"/>
        <v>63660</v>
      </c>
      <c r="I17" s="607">
        <v>2225</v>
      </c>
      <c r="J17" s="607">
        <v>902</v>
      </c>
      <c r="K17" s="618">
        <v>85795</v>
      </c>
      <c r="L17" s="1109"/>
      <c r="M17" s="1109"/>
      <c r="N17" s="1109"/>
      <c r="P17" s="1109"/>
    </row>
    <row r="18" spans="1:16" s="1110" customFormat="1" ht="20.25" customHeight="1">
      <c r="A18" s="610">
        <v>14</v>
      </c>
      <c r="B18" s="609" t="s">
        <v>1210</v>
      </c>
      <c r="C18" s="607">
        <v>26269</v>
      </c>
      <c r="D18" s="607">
        <v>62131</v>
      </c>
      <c r="E18" s="617" t="s">
        <v>1412</v>
      </c>
      <c r="F18" s="607">
        <v>11163</v>
      </c>
      <c r="G18" s="607">
        <v>1135</v>
      </c>
      <c r="H18" s="607">
        <f t="shared" si="0"/>
        <v>74429</v>
      </c>
      <c r="I18" s="607">
        <v>2720</v>
      </c>
      <c r="J18" s="607">
        <v>1628</v>
      </c>
      <c r="K18" s="618">
        <f>H18+C18+I18+J18</f>
        <v>105046</v>
      </c>
      <c r="L18" s="1109"/>
      <c r="M18" s="1109"/>
      <c r="N18" s="1109"/>
      <c r="P18" s="1109"/>
    </row>
    <row r="19" spans="1:16" s="1110" customFormat="1" ht="20.25" customHeight="1">
      <c r="A19" s="610">
        <v>15</v>
      </c>
      <c r="B19" s="609" t="s">
        <v>1209</v>
      </c>
      <c r="C19" s="607">
        <v>26767</v>
      </c>
      <c r="D19" s="607">
        <v>63951</v>
      </c>
      <c r="E19" s="617" t="s">
        <v>1412</v>
      </c>
      <c r="F19" s="607">
        <v>11633</v>
      </c>
      <c r="G19" s="607">
        <v>1178</v>
      </c>
      <c r="H19" s="607">
        <f t="shared" si="0"/>
        <v>76762</v>
      </c>
      <c r="I19" s="607">
        <v>2720</v>
      </c>
      <c r="J19" s="607">
        <v>1628</v>
      </c>
      <c r="K19" s="618">
        <f>H19+C19+I19+J19</f>
        <v>107877</v>
      </c>
      <c r="L19" s="1109"/>
      <c r="M19" s="1109"/>
      <c r="N19" s="1109"/>
      <c r="P19" s="1109"/>
    </row>
    <row r="20" spans="1:16" s="1110" customFormat="1" ht="20.25" customHeight="1">
      <c r="A20" s="610">
        <v>16</v>
      </c>
      <c r="B20" s="609" t="s">
        <v>1208</v>
      </c>
      <c r="C20" s="607">
        <v>29507</v>
      </c>
      <c r="D20" s="607">
        <v>64957</v>
      </c>
      <c r="E20" s="617" t="s">
        <v>1412</v>
      </c>
      <c r="F20" s="607">
        <v>11840</v>
      </c>
      <c r="G20" s="607">
        <v>1172</v>
      </c>
      <c r="H20" s="607">
        <f t="shared" si="0"/>
        <v>77969</v>
      </c>
      <c r="I20" s="607">
        <v>2720</v>
      </c>
      <c r="J20" s="607">
        <v>2488</v>
      </c>
      <c r="K20" s="618">
        <f>H20+C20+I20+J20</f>
        <v>112684</v>
      </c>
      <c r="L20" s="1109"/>
      <c r="M20" s="1109"/>
      <c r="N20" s="1109"/>
      <c r="P20" s="1109"/>
    </row>
    <row r="21" spans="1:16" s="1110" customFormat="1" ht="20.25" customHeight="1">
      <c r="A21" s="610">
        <v>17</v>
      </c>
      <c r="B21" s="609" t="s">
        <v>1207</v>
      </c>
      <c r="C21" s="607">
        <v>30942</v>
      </c>
      <c r="D21" s="607">
        <v>67791</v>
      </c>
      <c r="E21" s="617" t="s">
        <v>1412</v>
      </c>
      <c r="F21" s="607">
        <v>11910</v>
      </c>
      <c r="G21" s="607">
        <v>1202</v>
      </c>
      <c r="H21" s="607">
        <f t="shared" si="0"/>
        <v>80903</v>
      </c>
      <c r="I21" s="607">
        <v>2770</v>
      </c>
      <c r="J21" s="607">
        <v>384</v>
      </c>
      <c r="K21" s="618">
        <f>H21+C21+I21+J21-1</f>
        <v>114998</v>
      </c>
      <c r="L21" s="1109"/>
      <c r="M21" s="1109"/>
      <c r="N21" s="1109"/>
      <c r="P21" s="1109"/>
    </row>
    <row r="22" spans="1:16" s="1110" customFormat="1" ht="20.25" customHeight="1" thickBot="1">
      <c r="A22" s="1635">
        <v>18</v>
      </c>
      <c r="B22" s="1636" t="s">
        <v>1206</v>
      </c>
      <c r="C22" s="1637">
        <v>32326</v>
      </c>
      <c r="D22" s="1637">
        <v>68519</v>
      </c>
      <c r="E22" s="1638" t="s">
        <v>1412</v>
      </c>
      <c r="F22" s="1637">
        <v>12690</v>
      </c>
      <c r="G22" s="1637">
        <v>1202</v>
      </c>
      <c r="H22" s="1637">
        <f t="shared" si="0"/>
        <v>82411</v>
      </c>
      <c r="I22" s="1637">
        <v>3360</v>
      </c>
      <c r="J22" s="1637">
        <v>6191</v>
      </c>
      <c r="K22" s="1639">
        <f>H22+C22+I22+J22</f>
        <v>124288</v>
      </c>
      <c r="L22" s="598"/>
      <c r="M22" s="598"/>
      <c r="N22" s="598"/>
      <c r="P22" s="598"/>
    </row>
    <row r="23" spans="1:16" s="1110" customFormat="1" ht="20.25" customHeight="1" thickTop="1">
      <c r="A23" s="1630">
        <v>19</v>
      </c>
      <c r="B23" s="1631" t="s">
        <v>1205</v>
      </c>
      <c r="C23" s="1632">
        <v>34654</v>
      </c>
      <c r="D23" s="1632">
        <v>71121</v>
      </c>
      <c r="E23" s="1633" t="s">
        <v>1412</v>
      </c>
      <c r="F23" s="1632">
        <v>13692</v>
      </c>
      <c r="G23" s="1632">
        <v>1202</v>
      </c>
      <c r="H23" s="1632">
        <f t="shared" si="0"/>
        <v>86015</v>
      </c>
      <c r="I23" s="1632">
        <v>3900</v>
      </c>
      <c r="J23" s="1632">
        <v>7760</v>
      </c>
      <c r="K23" s="1634">
        <f>H23+C23+I23+J23</f>
        <v>132329</v>
      </c>
      <c r="L23" s="1109"/>
      <c r="M23" s="1109"/>
      <c r="N23" s="1109"/>
      <c r="P23" s="1109"/>
    </row>
    <row r="24" spans="1:16" s="1110" customFormat="1" ht="20.25" customHeight="1">
      <c r="A24" s="610">
        <v>20</v>
      </c>
      <c r="B24" s="609" t="s">
        <v>1204</v>
      </c>
      <c r="C24" s="607">
        <v>35909</v>
      </c>
      <c r="D24" s="607">
        <v>76049</v>
      </c>
      <c r="E24" s="617" t="s">
        <v>1412</v>
      </c>
      <c r="F24" s="607">
        <v>14656</v>
      </c>
      <c r="G24" s="607">
        <v>1202</v>
      </c>
      <c r="H24" s="607">
        <f t="shared" si="0"/>
        <v>91907</v>
      </c>
      <c r="I24" s="607">
        <v>4120</v>
      </c>
      <c r="J24" s="607">
        <v>11125</v>
      </c>
      <c r="K24" s="606">
        <f>C24+H24+I24+J24</f>
        <v>143061</v>
      </c>
      <c r="L24" s="1109"/>
      <c r="M24" s="1109"/>
      <c r="N24" s="1109"/>
      <c r="P24" s="1109"/>
    </row>
    <row r="25" spans="1:16" s="1110" customFormat="1" ht="20.25" customHeight="1">
      <c r="A25" s="610">
        <v>21</v>
      </c>
      <c r="B25" s="609" t="s">
        <v>1203</v>
      </c>
      <c r="C25" s="607">
        <v>36878</v>
      </c>
      <c r="D25" s="607">
        <v>77649</v>
      </c>
      <c r="E25" s="617" t="s">
        <v>1412</v>
      </c>
      <c r="F25" s="607">
        <v>14876</v>
      </c>
      <c r="G25" s="607">
        <v>1200</v>
      </c>
      <c r="H25" s="607">
        <f t="shared" si="0"/>
        <v>93725</v>
      </c>
      <c r="I25" s="607">
        <v>4120</v>
      </c>
      <c r="J25" s="607">
        <v>13242</v>
      </c>
      <c r="K25" s="606">
        <v>147965</v>
      </c>
      <c r="L25" s="1109"/>
      <c r="M25" s="1109"/>
      <c r="N25" s="1109"/>
      <c r="P25" s="1109"/>
    </row>
    <row r="26" spans="1:16" s="1110" customFormat="1" ht="20.25" customHeight="1">
      <c r="A26" s="610">
        <v>22</v>
      </c>
      <c r="B26" s="609" t="s">
        <v>1202</v>
      </c>
      <c r="C26" s="617">
        <v>36863</v>
      </c>
      <c r="D26" s="607">
        <v>84198</v>
      </c>
      <c r="E26" s="617" t="s">
        <v>1412</v>
      </c>
      <c r="F26" s="607">
        <v>17056</v>
      </c>
      <c r="G26" s="607">
        <v>1200</v>
      </c>
      <c r="H26" s="607">
        <f t="shared" si="0"/>
        <v>102454</v>
      </c>
      <c r="I26" s="607">
        <v>4560</v>
      </c>
      <c r="J26" s="607">
        <v>15521</v>
      </c>
      <c r="K26" s="606">
        <v>159398</v>
      </c>
      <c r="L26" s="1109"/>
      <c r="M26" s="1109"/>
      <c r="N26" s="1109"/>
      <c r="P26" s="1109"/>
    </row>
    <row r="27" spans="1:16" s="1110" customFormat="1" ht="20.25" customHeight="1">
      <c r="A27" s="610">
        <v>23</v>
      </c>
      <c r="B27" s="609" t="s">
        <v>1201</v>
      </c>
      <c r="C27" s="607">
        <v>37567</v>
      </c>
      <c r="D27" s="607">
        <v>93918</v>
      </c>
      <c r="E27" s="617" t="s">
        <v>1412</v>
      </c>
      <c r="F27" s="607">
        <v>17706</v>
      </c>
      <c r="G27" s="607">
        <v>1200</v>
      </c>
      <c r="H27" s="607">
        <v>112824</v>
      </c>
      <c r="I27" s="607">
        <v>4780</v>
      </c>
      <c r="J27" s="607">
        <v>18455</v>
      </c>
      <c r="K27" s="606">
        <v>173626</v>
      </c>
      <c r="L27" s="1109"/>
      <c r="M27" s="1109"/>
      <c r="N27" s="1109"/>
      <c r="P27" s="1109"/>
    </row>
    <row r="28" spans="1:16" s="1110" customFormat="1" ht="20.25" customHeight="1">
      <c r="A28" s="610">
        <v>24</v>
      </c>
      <c r="B28" s="609" t="s">
        <v>1200</v>
      </c>
      <c r="C28" s="617">
        <v>38990</v>
      </c>
      <c r="D28" s="607">
        <v>112022</v>
      </c>
      <c r="E28" s="617" t="s">
        <v>1412</v>
      </c>
      <c r="F28" s="607">
        <v>18381</v>
      </c>
      <c r="G28" s="607">
        <v>1200</v>
      </c>
      <c r="H28" s="607">
        <f t="shared" ref="H28:H36" si="2">D28+F28+G28</f>
        <v>131603</v>
      </c>
      <c r="I28" s="607">
        <v>4780</v>
      </c>
      <c r="J28" s="607">
        <v>24504</v>
      </c>
      <c r="K28" s="606">
        <v>199877</v>
      </c>
      <c r="L28" s="1109"/>
      <c r="M28" s="1109"/>
      <c r="N28" s="1109"/>
      <c r="P28" s="1109"/>
    </row>
    <row r="29" spans="1:16" s="1110" customFormat="1" ht="20.25" customHeight="1">
      <c r="A29" s="610">
        <v>25</v>
      </c>
      <c r="B29" s="609" t="s">
        <v>1199</v>
      </c>
      <c r="C29" s="607">
        <v>39491</v>
      </c>
      <c r="D29" s="607">
        <v>130221</v>
      </c>
      <c r="E29" s="617" t="s">
        <v>1412</v>
      </c>
      <c r="F29" s="607">
        <v>20110</v>
      </c>
      <c r="G29" s="607">
        <v>1200</v>
      </c>
      <c r="H29" s="607">
        <f t="shared" si="2"/>
        <v>151531</v>
      </c>
      <c r="I29" s="607">
        <v>4780</v>
      </c>
      <c r="J29" s="607">
        <v>27542</v>
      </c>
      <c r="K29" s="606">
        <f>C29+H29+I29+J29</f>
        <v>223344</v>
      </c>
      <c r="L29" s="1109"/>
      <c r="M29" s="1109"/>
      <c r="N29" s="1109"/>
      <c r="P29" s="1109"/>
    </row>
    <row r="30" spans="1:16" s="616" customFormat="1" ht="20.25" customHeight="1">
      <c r="A30" s="610">
        <v>26</v>
      </c>
      <c r="B30" s="609" t="s">
        <v>1198</v>
      </c>
      <c r="C30" s="608">
        <v>40531</v>
      </c>
      <c r="D30" s="608">
        <v>145273</v>
      </c>
      <c r="E30" s="617" t="s">
        <v>1412</v>
      </c>
      <c r="F30" s="608">
        <v>21781.5</v>
      </c>
      <c r="G30" s="608">
        <v>1199.75</v>
      </c>
      <c r="H30" s="608">
        <f t="shared" si="2"/>
        <v>168254.25</v>
      </c>
      <c r="I30" s="608">
        <v>4780</v>
      </c>
      <c r="J30" s="608">
        <v>34988</v>
      </c>
      <c r="K30" s="606">
        <f>C30+H30+I30+J30</f>
        <v>248553.25</v>
      </c>
      <c r="L30" s="598"/>
      <c r="M30" s="598"/>
      <c r="N30" s="598"/>
      <c r="P30" s="598"/>
    </row>
    <row r="31" spans="1:16" s="1110" customFormat="1" ht="20.25" customHeight="1">
      <c r="A31" s="610">
        <v>27</v>
      </c>
      <c r="B31" s="609" t="s">
        <v>1197</v>
      </c>
      <c r="C31" s="607">
        <v>41267</v>
      </c>
      <c r="D31" s="607">
        <v>164636</v>
      </c>
      <c r="E31" s="617" t="s">
        <v>1412</v>
      </c>
      <c r="F31" s="607">
        <v>23062</v>
      </c>
      <c r="G31" s="607">
        <v>1200</v>
      </c>
      <c r="H31" s="608">
        <f t="shared" si="2"/>
        <v>188898</v>
      </c>
      <c r="I31" s="607">
        <v>5780</v>
      </c>
      <c r="J31" s="607">
        <v>38959</v>
      </c>
      <c r="K31" s="606">
        <f>C31+H31+I31+J31</f>
        <v>274904</v>
      </c>
      <c r="L31" s="1109"/>
      <c r="M31" s="1109"/>
      <c r="N31" s="1109"/>
      <c r="P31" s="1109"/>
    </row>
    <row r="32" spans="1:16" s="1110" customFormat="1" ht="20.25" customHeight="1">
      <c r="A32" s="610">
        <v>28</v>
      </c>
      <c r="B32" s="609" t="s">
        <v>1196</v>
      </c>
      <c r="C32" s="607">
        <v>42783</v>
      </c>
      <c r="D32" s="607">
        <v>185173</v>
      </c>
      <c r="E32" s="617" t="s">
        <v>1412</v>
      </c>
      <c r="F32" s="607">
        <v>24509</v>
      </c>
      <c r="G32" s="607">
        <v>994</v>
      </c>
      <c r="H32" s="608">
        <f t="shared" si="2"/>
        <v>210676</v>
      </c>
      <c r="I32" s="607">
        <v>5780</v>
      </c>
      <c r="J32" s="607">
        <v>45924</v>
      </c>
      <c r="K32" s="606">
        <f>C32+H32+I32+J32+1</f>
        <v>305164</v>
      </c>
      <c r="L32" s="1109"/>
      <c r="M32" s="1109"/>
      <c r="N32" s="1109"/>
      <c r="P32" s="1109"/>
    </row>
    <row r="33" spans="1:16" s="1110" customFormat="1" ht="20.25" customHeight="1">
      <c r="A33" s="615">
        <v>29</v>
      </c>
      <c r="B33" s="614" t="s">
        <v>1195</v>
      </c>
      <c r="C33" s="612">
        <v>44478</v>
      </c>
      <c r="D33" s="612">
        <v>192163</v>
      </c>
      <c r="E33" s="617" t="s">
        <v>1412</v>
      </c>
      <c r="F33" s="612">
        <v>25329</v>
      </c>
      <c r="G33" s="612">
        <v>838</v>
      </c>
      <c r="H33" s="613">
        <f t="shared" si="2"/>
        <v>218330</v>
      </c>
      <c r="I33" s="612">
        <v>6780</v>
      </c>
      <c r="J33" s="612">
        <v>57244</v>
      </c>
      <c r="K33" s="611">
        <f>C33+H33+I33+J33+1</f>
        <v>326833</v>
      </c>
      <c r="L33" s="1109"/>
      <c r="M33" s="1109"/>
      <c r="N33" s="1109"/>
      <c r="P33" s="1109"/>
    </row>
    <row r="34" spans="1:16" s="1110" customFormat="1" ht="20.25" customHeight="1">
      <c r="A34" s="610">
        <v>30</v>
      </c>
      <c r="B34" s="609" t="s">
        <v>1194</v>
      </c>
      <c r="C34" s="607">
        <v>45293</v>
      </c>
      <c r="D34" s="607">
        <v>197172</v>
      </c>
      <c r="E34" s="617" t="s">
        <v>1412</v>
      </c>
      <c r="F34" s="607">
        <v>24897</v>
      </c>
      <c r="G34" s="607">
        <v>838</v>
      </c>
      <c r="H34" s="608">
        <f t="shared" si="2"/>
        <v>222907</v>
      </c>
      <c r="I34" s="607">
        <v>6780</v>
      </c>
      <c r="J34" s="607">
        <v>69022</v>
      </c>
      <c r="K34" s="606">
        <f>C34+H34+I34+J34</f>
        <v>344002</v>
      </c>
      <c r="L34" s="1109"/>
      <c r="M34" s="1109"/>
      <c r="N34" s="1109"/>
      <c r="P34" s="1109"/>
    </row>
    <row r="35" spans="1:16" s="1110" customFormat="1" ht="20.25" customHeight="1">
      <c r="A35" s="610">
        <v>31</v>
      </c>
      <c r="B35" s="609" t="s">
        <v>1193</v>
      </c>
      <c r="C35" s="607">
        <v>45399</v>
      </c>
      <c r="D35" s="608">
        <v>200704.5</v>
      </c>
      <c r="E35" s="617" t="s">
        <v>1412</v>
      </c>
      <c r="F35" s="608">
        <v>24937.22</v>
      </c>
      <c r="G35" s="608">
        <v>637.62999999999988</v>
      </c>
      <c r="H35" s="608">
        <f t="shared" si="2"/>
        <v>226279.35</v>
      </c>
      <c r="I35" s="607">
        <v>6780</v>
      </c>
      <c r="J35" s="607">
        <v>77642</v>
      </c>
      <c r="K35" s="606">
        <f>C35+H35+I35+J35</f>
        <v>356100.35</v>
      </c>
      <c r="L35" s="1109"/>
      <c r="M35" s="1109"/>
      <c r="N35" s="1109"/>
      <c r="P35" s="1109"/>
    </row>
    <row r="36" spans="1:16" s="1110" customFormat="1" ht="20.25" customHeight="1">
      <c r="A36" s="610">
        <v>32</v>
      </c>
      <c r="B36" s="609" t="s">
        <v>1192</v>
      </c>
      <c r="C36" s="607">
        <v>45699</v>
      </c>
      <c r="D36" s="608">
        <v>198524</v>
      </c>
      <c r="E36" s="617" t="s">
        <v>1412</v>
      </c>
      <c r="F36" s="608">
        <v>24955</v>
      </c>
      <c r="G36" s="608">
        <v>510</v>
      </c>
      <c r="H36" s="608">
        <f t="shared" si="2"/>
        <v>223989</v>
      </c>
      <c r="I36" s="607">
        <v>6780</v>
      </c>
      <c r="J36" s="607">
        <v>87028</v>
      </c>
      <c r="K36" s="606">
        <f>C36+H36+I36+J36</f>
        <v>363496</v>
      </c>
      <c r="L36" s="1109"/>
      <c r="M36" s="1109"/>
      <c r="N36" s="1109"/>
      <c r="P36" s="1109"/>
    </row>
    <row r="37" spans="1:16" s="1110" customFormat="1" ht="20.25" customHeight="1">
      <c r="A37" s="605">
        <v>33</v>
      </c>
      <c r="B37" s="604" t="s">
        <v>1191</v>
      </c>
      <c r="C37" s="602">
        <v>46209.22</v>
      </c>
      <c r="D37" s="603">
        <v>202674.5</v>
      </c>
      <c r="E37" s="617">
        <v>6620</v>
      </c>
      <c r="F37" s="603">
        <v>24924.01</v>
      </c>
      <c r="G37" s="603">
        <v>509.71</v>
      </c>
      <c r="H37" s="603">
        <f>D37+E37+F37+G37</f>
        <v>234728.22</v>
      </c>
      <c r="I37" s="602">
        <v>6780</v>
      </c>
      <c r="J37" s="602">
        <v>94433.79</v>
      </c>
      <c r="K37" s="601">
        <f>C37+H37+I37+J37</f>
        <v>382151.23</v>
      </c>
      <c r="L37" s="1109"/>
      <c r="M37" s="1109"/>
      <c r="N37" s="1109"/>
      <c r="P37" s="1109"/>
    </row>
    <row r="38" spans="1:16" s="1110" customFormat="1" ht="20.25" customHeight="1">
      <c r="A38" s="1119">
        <v>34</v>
      </c>
      <c r="B38" s="1118" t="s">
        <v>1190</v>
      </c>
      <c r="C38" s="1115">
        <v>46722.52</v>
      </c>
      <c r="D38" s="1116">
        <v>204079.5</v>
      </c>
      <c r="E38" s="1117">
        <v>6620</v>
      </c>
      <c r="F38" s="1116">
        <v>24899.51</v>
      </c>
      <c r="G38" s="1116">
        <v>509.71</v>
      </c>
      <c r="H38" s="1116">
        <f>D38+E38+F38+G38</f>
        <v>236108.72</v>
      </c>
      <c r="I38" s="1115">
        <v>6780</v>
      </c>
      <c r="J38" s="1115">
        <v>109885.38</v>
      </c>
      <c r="K38" s="1114">
        <f>C38+H38+I38+J38</f>
        <v>399496.62</v>
      </c>
      <c r="L38" s="598"/>
      <c r="M38" s="598"/>
      <c r="N38" s="598"/>
      <c r="P38" s="598"/>
    </row>
    <row r="39" spans="1:16" s="1110" customFormat="1" ht="20.25" customHeight="1">
      <c r="A39" s="1250" t="s">
        <v>1189</v>
      </c>
      <c r="B39" s="1111"/>
      <c r="C39" s="1111"/>
      <c r="D39" s="1111"/>
      <c r="E39" s="1111"/>
      <c r="F39" s="1113"/>
      <c r="G39" s="1111"/>
      <c r="H39" s="1111"/>
      <c r="I39" s="1112" t="s">
        <v>903</v>
      </c>
      <c r="J39" s="1111"/>
      <c r="K39" s="1251"/>
      <c r="L39" s="1109"/>
      <c r="M39" s="1109"/>
      <c r="N39" s="1109"/>
      <c r="P39" s="1109"/>
    </row>
    <row r="40" spans="1:16" s="1110" customFormat="1" ht="20.25" customHeight="1">
      <c r="A40" s="1252" t="s">
        <v>1188</v>
      </c>
      <c r="B40" s="558"/>
      <c r="C40" s="558"/>
      <c r="D40" s="558"/>
      <c r="E40" s="558"/>
      <c r="F40" s="558"/>
      <c r="G40" s="558"/>
      <c r="H40" s="558"/>
      <c r="I40" s="558"/>
      <c r="J40" s="558"/>
      <c r="K40" s="1253"/>
      <c r="L40" s="1109"/>
      <c r="M40" s="1109"/>
      <c r="N40" s="1109"/>
      <c r="P40" s="1109"/>
    </row>
    <row r="41" spans="1:16" ht="30" hidden="1" customHeight="1">
      <c r="A41" s="2055" t="s">
        <v>1187</v>
      </c>
      <c r="B41" s="2056"/>
      <c r="C41" s="2057"/>
      <c r="D41" s="2057"/>
      <c r="E41" s="2057"/>
      <c r="F41" s="2057"/>
      <c r="G41" s="2057"/>
      <c r="H41" s="2057"/>
      <c r="I41" s="2057"/>
      <c r="J41" s="2057"/>
      <c r="K41" s="2058"/>
      <c r="L41" s="1109"/>
      <c r="M41" s="1109"/>
      <c r="N41" s="1109"/>
      <c r="P41" s="1109"/>
    </row>
    <row r="42" spans="1:16" hidden="1">
      <c r="A42" s="1254"/>
      <c r="K42" s="1255"/>
      <c r="L42" s="1109"/>
      <c r="M42" s="1109"/>
      <c r="N42" s="1109"/>
      <c r="P42" s="1109"/>
    </row>
    <row r="43" spans="1:16" hidden="1">
      <c r="A43" s="1256" t="s">
        <v>1186</v>
      </c>
      <c r="K43" s="1255"/>
      <c r="L43" s="1109"/>
      <c r="M43" s="1109"/>
      <c r="N43" s="1109"/>
      <c r="P43" s="1109"/>
    </row>
    <row r="44" spans="1:16" hidden="1">
      <c r="A44" s="1254"/>
      <c r="K44" s="1255"/>
      <c r="L44" s="1109"/>
      <c r="M44" s="1109"/>
      <c r="N44" s="1109"/>
      <c r="P44" s="1109"/>
    </row>
    <row r="45" spans="1:16" hidden="1">
      <c r="A45" s="1254"/>
      <c r="K45" s="1255"/>
      <c r="L45" s="1109"/>
      <c r="M45" s="1109"/>
      <c r="N45" s="1109"/>
      <c r="P45" s="1109"/>
    </row>
    <row r="46" spans="1:16" ht="15.75" thickBot="1">
      <c r="A46" s="1257" t="s">
        <v>2608</v>
      </c>
      <c r="B46" s="1258"/>
      <c r="C46" s="1259"/>
      <c r="D46" s="1259"/>
      <c r="E46" s="1259"/>
      <c r="F46" s="1259"/>
      <c r="G46" s="1259"/>
      <c r="H46" s="1259"/>
      <c r="I46" s="1259"/>
      <c r="J46" s="1259"/>
      <c r="K46" s="1260"/>
      <c r="L46" s="598"/>
      <c r="M46" s="598"/>
      <c r="N46" s="598"/>
      <c r="P46" s="598"/>
    </row>
    <row r="47" spans="1:16" ht="15.75" thickTop="1">
      <c r="L47" s="597"/>
      <c r="M47" s="597"/>
      <c r="N47" s="597"/>
      <c r="P47" s="597"/>
    </row>
    <row r="50" ht="42.75" customHeight="1"/>
  </sheetData>
  <mergeCells count="10">
    <mergeCell ref="A41:K41"/>
    <mergeCell ref="A1:K1"/>
    <mergeCell ref="I2:K2"/>
    <mergeCell ref="A3:A4"/>
    <mergeCell ref="B3:B4"/>
    <mergeCell ref="C3:C4"/>
    <mergeCell ref="D3:H3"/>
    <mergeCell ref="I3:I4"/>
    <mergeCell ref="J3:J4"/>
    <mergeCell ref="K3:K4"/>
  </mergeCells>
  <conditionalFormatting sqref="O5:O37 R5:XFD37 L5:N46 P5:P46 E37:E38 A5:K36">
    <cfRule type="expression" dxfId="94" priority="3">
      <formula>MOD(ROW(),3)=1</formula>
    </cfRule>
  </conditionalFormatting>
  <conditionalFormatting sqref="C37:D38 F37:K38">
    <cfRule type="expression" dxfId="93" priority="2">
      <formula>MOD(ROW(),3)=1</formula>
    </cfRule>
  </conditionalFormatting>
  <conditionalFormatting sqref="Q5:Q37">
    <cfRule type="expression" dxfId="92" priority="1">
      <formula>MOD(ROW(),3)=1</formula>
    </cfRule>
  </conditionalFormatting>
  <printOptions horizontalCentered="1"/>
  <pageMargins left="0.23622047244094491" right="0.23622047244094491" top="0.74803149606299213" bottom="0.74803149606299213" header="0.31496062992125984" footer="0.31496062992125984"/>
  <pageSetup paperSize="9" firstPageNumber="90" fitToHeight="0" pageOrder="overThenDown" orientation="landscape" r:id="rId1"/>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2D800F-B351-4374-B560-F33936E80723}">
  <sheetPr>
    <pageSetUpPr fitToPage="1"/>
  </sheetPr>
  <dimension ref="A1:J41"/>
  <sheetViews>
    <sheetView view="pageBreakPreview" topLeftCell="A16" zoomScaleSheetLayoutView="100" workbookViewId="0">
      <selection activeCell="S17" sqref="S17"/>
    </sheetView>
  </sheetViews>
  <sheetFormatPr defaultColWidth="9.5703125" defaultRowHeight="15"/>
  <cols>
    <col min="1" max="1" width="6.85546875" style="620" customWidth="1"/>
    <col min="2" max="2" width="13" style="555" bestFit="1" customWidth="1"/>
    <col min="3" max="10" width="11.7109375" style="555" customWidth="1"/>
    <col min="11" max="16384" width="9.5703125" style="555"/>
  </cols>
  <sheetData>
    <row r="1" spans="1:10" s="558" customFormat="1" ht="40.5" customHeight="1" thickTop="1">
      <c r="A1" s="2059" t="s">
        <v>2583</v>
      </c>
      <c r="B1" s="2075"/>
      <c r="C1" s="2075"/>
      <c r="D1" s="2075"/>
      <c r="E1" s="2075"/>
      <c r="F1" s="2075"/>
      <c r="G1" s="2075"/>
      <c r="H1" s="2075"/>
      <c r="I1" s="2075"/>
      <c r="J1" s="2076"/>
    </row>
    <row r="2" spans="1:10" s="558" customFormat="1" ht="18.75" customHeight="1">
      <c r="A2" s="2077" t="s">
        <v>1257</v>
      </c>
      <c r="B2" s="2078"/>
      <c r="C2" s="2078"/>
      <c r="D2" s="2078"/>
      <c r="E2" s="2078"/>
      <c r="F2" s="2078"/>
      <c r="G2" s="2078"/>
      <c r="H2" s="2078"/>
      <c r="I2" s="2078"/>
      <c r="J2" s="2079"/>
    </row>
    <row r="3" spans="1:10" s="592" customFormat="1" ht="30.75" customHeight="1">
      <c r="A3" s="2064" t="s">
        <v>686</v>
      </c>
      <c r="B3" s="2080" t="s">
        <v>1256</v>
      </c>
      <c r="C3" s="2080" t="s">
        <v>1255</v>
      </c>
      <c r="D3" s="2052" t="s">
        <v>1254</v>
      </c>
      <c r="E3" s="2053"/>
      <c r="F3" s="2053"/>
      <c r="G3" s="2053"/>
      <c r="H3" s="2081" t="s">
        <v>1170</v>
      </c>
      <c r="I3" s="2081" t="s">
        <v>1253</v>
      </c>
      <c r="J3" s="2067" t="s">
        <v>1252</v>
      </c>
    </row>
    <row r="4" spans="1:10" s="631" customFormat="1" ht="76.5" customHeight="1">
      <c r="A4" s="2064"/>
      <c r="B4" s="2081"/>
      <c r="C4" s="2081"/>
      <c r="D4" s="1104" t="s">
        <v>1251</v>
      </c>
      <c r="E4" s="1138" t="s">
        <v>1250</v>
      </c>
      <c r="F4" s="1138" t="s">
        <v>1249</v>
      </c>
      <c r="G4" s="1104" t="s">
        <v>721</v>
      </c>
      <c r="H4" s="2052"/>
      <c r="I4" s="2052"/>
      <c r="J4" s="2068"/>
    </row>
    <row r="5" spans="1:10" s="558" customFormat="1" ht="15.75" customHeight="1">
      <c r="A5" s="1157">
        <v>1</v>
      </c>
      <c r="B5" s="24">
        <v>1947</v>
      </c>
      <c r="C5" s="116">
        <v>2195</v>
      </c>
      <c r="D5" s="116">
        <v>1733</v>
      </c>
      <c r="E5" s="116">
        <v>0</v>
      </c>
      <c r="F5" s="116">
        <v>144</v>
      </c>
      <c r="G5" s="116">
        <f t="shared" ref="G5:G19" si="0">SUM(D5:F5)</f>
        <v>1877</v>
      </c>
      <c r="H5" s="116">
        <v>0</v>
      </c>
      <c r="I5" s="116">
        <v>0</v>
      </c>
      <c r="J5" s="630">
        <v>4073</v>
      </c>
    </row>
    <row r="6" spans="1:10" s="558" customFormat="1" ht="15.75" customHeight="1">
      <c r="A6" s="1157">
        <v>2</v>
      </c>
      <c r="B6" s="24">
        <v>1950</v>
      </c>
      <c r="C6" s="116">
        <v>2519</v>
      </c>
      <c r="D6" s="116">
        <v>2387</v>
      </c>
      <c r="E6" s="116">
        <v>0</v>
      </c>
      <c r="F6" s="116">
        <v>200</v>
      </c>
      <c r="G6" s="116">
        <f t="shared" si="0"/>
        <v>2587</v>
      </c>
      <c r="H6" s="116">
        <v>0</v>
      </c>
      <c r="I6" s="116">
        <v>0</v>
      </c>
      <c r="J6" s="630">
        <v>5106</v>
      </c>
    </row>
    <row r="7" spans="1:10" s="558" customFormat="1" ht="15.75" customHeight="1">
      <c r="A7" s="1157">
        <v>3</v>
      </c>
      <c r="B7" s="5" t="s">
        <v>1248</v>
      </c>
      <c r="C7" s="116">
        <v>4295</v>
      </c>
      <c r="D7" s="116">
        <v>5134</v>
      </c>
      <c r="E7" s="116">
        <v>0</v>
      </c>
      <c r="F7" s="116">
        <v>233</v>
      </c>
      <c r="G7" s="116">
        <f t="shared" si="0"/>
        <v>5367</v>
      </c>
      <c r="H7" s="116">
        <v>0</v>
      </c>
      <c r="I7" s="116">
        <v>0</v>
      </c>
      <c r="J7" s="630">
        <v>9662</v>
      </c>
    </row>
    <row r="8" spans="1:10" s="558" customFormat="1" ht="15.75" customHeight="1">
      <c r="A8" s="1157">
        <v>4</v>
      </c>
      <c r="B8" s="5" t="s">
        <v>494</v>
      </c>
      <c r="C8" s="116">
        <v>7837</v>
      </c>
      <c r="D8" s="116">
        <v>8732</v>
      </c>
      <c r="E8" s="116">
        <v>0</v>
      </c>
      <c r="F8" s="116">
        <v>368</v>
      </c>
      <c r="G8" s="116">
        <f t="shared" si="0"/>
        <v>9100</v>
      </c>
      <c r="H8" s="116">
        <v>0</v>
      </c>
      <c r="I8" s="116">
        <v>0</v>
      </c>
      <c r="J8" s="630">
        <v>16937</v>
      </c>
    </row>
    <row r="9" spans="1:10" s="558" customFormat="1" ht="15.75" customHeight="1">
      <c r="A9" s="1157">
        <v>5</v>
      </c>
      <c r="B9" s="5" t="s">
        <v>1247</v>
      </c>
      <c r="C9" s="116">
        <v>15225</v>
      </c>
      <c r="D9" s="116">
        <v>17372</v>
      </c>
      <c r="E9" s="116">
        <v>69</v>
      </c>
      <c r="F9" s="116">
        <v>324</v>
      </c>
      <c r="G9" s="116">
        <f t="shared" si="0"/>
        <v>17765</v>
      </c>
      <c r="H9" s="116">
        <v>0</v>
      </c>
      <c r="I9" s="116">
        <v>0</v>
      </c>
      <c r="J9" s="630">
        <v>32990</v>
      </c>
    </row>
    <row r="10" spans="1:10" s="558" customFormat="1" ht="15.75" customHeight="1">
      <c r="A10" s="1157">
        <v>6</v>
      </c>
      <c r="B10" s="5" t="s">
        <v>1246</v>
      </c>
      <c r="C10" s="116">
        <v>20723</v>
      </c>
      <c r="D10" s="116">
        <v>26394</v>
      </c>
      <c r="E10" s="116">
        <v>123</v>
      </c>
      <c r="F10" s="116">
        <v>194</v>
      </c>
      <c r="G10" s="116">
        <f t="shared" si="0"/>
        <v>26711</v>
      </c>
      <c r="H10" s="116">
        <v>0</v>
      </c>
      <c r="I10" s="116">
        <v>0</v>
      </c>
      <c r="J10" s="630">
        <v>47433</v>
      </c>
    </row>
    <row r="11" spans="1:10" s="558" customFormat="1" ht="15.75" customHeight="1">
      <c r="A11" s="1157">
        <v>7</v>
      </c>
      <c r="B11" s="5" t="s">
        <v>1245</v>
      </c>
      <c r="C11" s="116">
        <v>28972</v>
      </c>
      <c r="D11" s="116">
        <v>34853</v>
      </c>
      <c r="E11" s="116">
        <v>343</v>
      </c>
      <c r="F11" s="116">
        <v>125</v>
      </c>
      <c r="G11" s="116">
        <f t="shared" si="0"/>
        <v>35321</v>
      </c>
      <c r="H11" s="116">
        <v>2396</v>
      </c>
      <c r="I11" s="116">
        <v>0</v>
      </c>
      <c r="J11" s="630">
        <v>66689</v>
      </c>
    </row>
    <row r="12" spans="1:10" s="558" customFormat="1" ht="15.75" customHeight="1">
      <c r="A12" s="1157">
        <v>8</v>
      </c>
      <c r="B12" s="5" t="s">
        <v>1244</v>
      </c>
      <c r="C12" s="116">
        <v>47159</v>
      </c>
      <c r="D12" s="116">
        <v>52024</v>
      </c>
      <c r="E12" s="116">
        <v>515</v>
      </c>
      <c r="F12" s="116">
        <v>55</v>
      </c>
      <c r="G12" s="116">
        <f t="shared" si="0"/>
        <v>52594</v>
      </c>
      <c r="H12" s="116">
        <v>2770</v>
      </c>
      <c r="I12" s="116">
        <v>0</v>
      </c>
      <c r="J12" s="630">
        <v>102523</v>
      </c>
    </row>
    <row r="13" spans="1:10" s="558" customFormat="1" ht="15.75" customHeight="1">
      <c r="A13" s="1157">
        <v>9</v>
      </c>
      <c r="B13" s="5" t="s">
        <v>1243</v>
      </c>
      <c r="C13" s="116">
        <v>45478</v>
      </c>
      <c r="D13" s="116">
        <v>55720</v>
      </c>
      <c r="E13" s="116">
        <v>500</v>
      </c>
      <c r="F13" s="116">
        <v>53</v>
      </c>
      <c r="G13" s="116">
        <f t="shared" si="0"/>
        <v>56273</v>
      </c>
      <c r="H13" s="116">
        <v>2876</v>
      </c>
      <c r="I13" s="116">
        <v>0</v>
      </c>
      <c r="J13" s="630">
        <v>104627</v>
      </c>
    </row>
    <row r="14" spans="1:10" s="558" customFormat="1" ht="15.75" customHeight="1">
      <c r="A14" s="1157">
        <v>10</v>
      </c>
      <c r="B14" s="5" t="s">
        <v>1242</v>
      </c>
      <c r="C14" s="116">
        <v>53948</v>
      </c>
      <c r="D14" s="116">
        <v>96957</v>
      </c>
      <c r="E14" s="116">
        <v>1834</v>
      </c>
      <c r="F14" s="116">
        <v>45</v>
      </c>
      <c r="G14" s="116">
        <f t="shared" si="0"/>
        <v>98836</v>
      </c>
      <c r="H14" s="116">
        <v>4075</v>
      </c>
      <c r="I14" s="116">
        <v>0</v>
      </c>
      <c r="J14" s="630">
        <v>156859</v>
      </c>
    </row>
    <row r="15" spans="1:10" s="558" customFormat="1" ht="15.75" customHeight="1">
      <c r="A15" s="1157">
        <v>11</v>
      </c>
      <c r="B15" s="5" t="s">
        <v>1241</v>
      </c>
      <c r="C15" s="116">
        <v>62116</v>
      </c>
      <c r="D15" s="116">
        <v>172643</v>
      </c>
      <c r="E15" s="116">
        <v>5962</v>
      </c>
      <c r="F15" s="116">
        <v>85</v>
      </c>
      <c r="G15" s="116">
        <f t="shared" si="0"/>
        <v>178690</v>
      </c>
      <c r="H15" s="116">
        <v>4625</v>
      </c>
      <c r="I15" s="116">
        <v>6</v>
      </c>
      <c r="J15" s="630">
        <v>245438</v>
      </c>
    </row>
    <row r="16" spans="1:10" s="558" customFormat="1" ht="15.75" customHeight="1">
      <c r="A16" s="1157">
        <v>12</v>
      </c>
      <c r="B16" s="5" t="s">
        <v>1240</v>
      </c>
      <c r="C16" s="116">
        <v>72757</v>
      </c>
      <c r="D16" s="116">
        <v>197163</v>
      </c>
      <c r="E16" s="116">
        <v>11450</v>
      </c>
      <c r="F16" s="116">
        <v>95</v>
      </c>
      <c r="G16" s="116">
        <f t="shared" si="0"/>
        <v>208708</v>
      </c>
      <c r="H16" s="116">
        <v>5525</v>
      </c>
      <c r="I16" s="116">
        <v>38</v>
      </c>
      <c r="J16" s="630">
        <v>287029</v>
      </c>
    </row>
    <row r="17" spans="1:10" s="558" customFormat="1" ht="15.75" customHeight="1">
      <c r="A17" s="1157">
        <v>13</v>
      </c>
      <c r="B17" s="5" t="s">
        <v>1239</v>
      </c>
      <c r="C17" s="116">
        <v>68901</v>
      </c>
      <c r="D17" s="116">
        <v>289378</v>
      </c>
      <c r="E17" s="116">
        <v>26985</v>
      </c>
      <c r="F17" s="116">
        <v>679</v>
      </c>
      <c r="G17" s="116">
        <f t="shared" si="0"/>
        <v>317042</v>
      </c>
      <c r="H17" s="116">
        <v>9071</v>
      </c>
      <c r="I17" s="116">
        <v>876</v>
      </c>
      <c r="J17" s="630">
        <v>395889</v>
      </c>
    </row>
    <row r="18" spans="1:10" s="558" customFormat="1" ht="15.75" customHeight="1">
      <c r="A18" s="1157">
        <v>14</v>
      </c>
      <c r="B18" s="5" t="s">
        <v>931</v>
      </c>
      <c r="C18" s="116">
        <v>73580</v>
      </c>
      <c r="D18" s="116">
        <v>370884</v>
      </c>
      <c r="E18" s="116">
        <v>47099</v>
      </c>
      <c r="F18" s="116">
        <v>4317</v>
      </c>
      <c r="G18" s="116">
        <f t="shared" si="0"/>
        <v>422300</v>
      </c>
      <c r="H18" s="116">
        <v>19475</v>
      </c>
      <c r="I18" s="116">
        <v>2085</v>
      </c>
      <c r="J18" s="630">
        <v>517439</v>
      </c>
    </row>
    <row r="19" spans="1:10" s="558" customFormat="1" ht="15.75" customHeight="1" thickBot="1">
      <c r="A19" s="191">
        <v>15</v>
      </c>
      <c r="B19" s="158" t="s">
        <v>484</v>
      </c>
      <c r="C19" s="1642">
        <v>113502</v>
      </c>
      <c r="D19" s="1642">
        <v>461794</v>
      </c>
      <c r="E19" s="1642">
        <v>64157</v>
      </c>
      <c r="F19" s="1642">
        <v>2539</v>
      </c>
      <c r="G19" s="1642">
        <f t="shared" si="0"/>
        <v>528490</v>
      </c>
      <c r="H19" s="1642">
        <v>18802</v>
      </c>
      <c r="I19" s="1642">
        <v>9860</v>
      </c>
      <c r="J19" s="1643">
        <v>670654</v>
      </c>
    </row>
    <row r="20" spans="1:10" s="558" customFormat="1" ht="15.75" customHeight="1" thickTop="1">
      <c r="A20" s="1158">
        <v>16</v>
      </c>
      <c r="B20" s="153" t="s">
        <v>483</v>
      </c>
      <c r="C20" s="1640">
        <v>120877</v>
      </c>
      <c r="D20" s="1640">
        <v>486998</v>
      </c>
      <c r="E20" s="1640">
        <v>69716</v>
      </c>
      <c r="F20" s="1640">
        <v>3357</v>
      </c>
      <c r="G20" s="1640">
        <f>SUM(D20:F20)+1</f>
        <v>560072</v>
      </c>
      <c r="H20" s="1640">
        <v>16957</v>
      </c>
      <c r="I20" s="1640">
        <v>25210</v>
      </c>
      <c r="J20" s="1641">
        <v>723116</v>
      </c>
    </row>
    <row r="21" spans="1:10" s="558" customFormat="1" ht="15.75" customHeight="1">
      <c r="A21" s="1157">
        <v>17</v>
      </c>
      <c r="B21" s="5" t="s">
        <v>482</v>
      </c>
      <c r="C21" s="116">
        <v>110098</v>
      </c>
      <c r="D21" s="116">
        <v>511895</v>
      </c>
      <c r="E21" s="116">
        <v>71597</v>
      </c>
      <c r="F21" s="116">
        <v>4789</v>
      </c>
      <c r="G21" s="116">
        <f>SUM(D21:F21)+1</f>
        <v>588282</v>
      </c>
      <c r="H21" s="116">
        <v>14927</v>
      </c>
      <c r="I21" s="116">
        <v>27860</v>
      </c>
      <c r="J21" s="629">
        <v>741167</v>
      </c>
    </row>
    <row r="22" spans="1:10" s="558" customFormat="1" ht="15.75" customHeight="1">
      <c r="A22" s="1157">
        <v>18</v>
      </c>
      <c r="B22" s="5" t="s">
        <v>497</v>
      </c>
      <c r="C22" s="116">
        <v>104059</v>
      </c>
      <c r="D22" s="116">
        <v>539586</v>
      </c>
      <c r="E22" s="116">
        <v>96373</v>
      </c>
      <c r="F22" s="116">
        <v>4248</v>
      </c>
      <c r="G22" s="116">
        <f>SUM(D22:F22)+1</f>
        <v>640208</v>
      </c>
      <c r="H22" s="116">
        <v>18636</v>
      </c>
      <c r="I22" s="116">
        <v>36947</v>
      </c>
      <c r="J22" s="629">
        <v>799850</v>
      </c>
    </row>
    <row r="23" spans="1:10" s="558" customFormat="1" ht="15.75" customHeight="1">
      <c r="A23" s="1157">
        <v>19</v>
      </c>
      <c r="B23" s="5" t="s">
        <v>1</v>
      </c>
      <c r="C23" s="116">
        <v>114415</v>
      </c>
      <c r="D23" s="116">
        <v>561298</v>
      </c>
      <c r="E23" s="116">
        <v>100342</v>
      </c>
      <c r="F23" s="116">
        <v>3181</v>
      </c>
      <c r="G23" s="116">
        <f>SUM(D23:F23)+1</f>
        <v>664822</v>
      </c>
      <c r="H23" s="116">
        <v>26266</v>
      </c>
      <c r="I23" s="116">
        <v>39245</v>
      </c>
      <c r="J23" s="629">
        <v>844748</v>
      </c>
    </row>
    <row r="24" spans="1:10" s="558" customFormat="1" ht="15.75" customHeight="1">
      <c r="A24" s="1157">
        <v>20</v>
      </c>
      <c r="B24" s="5" t="s">
        <v>2</v>
      </c>
      <c r="C24" s="116">
        <v>130511</v>
      </c>
      <c r="D24" s="116">
        <v>612497</v>
      </c>
      <c r="E24" s="116">
        <v>93281</v>
      </c>
      <c r="F24" s="116">
        <v>2649</v>
      </c>
      <c r="G24" s="116">
        <f t="shared" ref="G24:G31" si="1">SUM(D24:F24)</f>
        <v>708427</v>
      </c>
      <c r="H24" s="116">
        <v>32287</v>
      </c>
      <c r="I24" s="116">
        <v>51226</v>
      </c>
      <c r="J24" s="629">
        <v>922451</v>
      </c>
    </row>
    <row r="25" spans="1:10" s="558" customFormat="1" ht="15.75" customHeight="1">
      <c r="A25" s="1157">
        <v>21</v>
      </c>
      <c r="B25" s="5" t="s">
        <v>3</v>
      </c>
      <c r="C25" s="116">
        <v>113720</v>
      </c>
      <c r="D25" s="116">
        <v>691341</v>
      </c>
      <c r="E25" s="116">
        <v>66664</v>
      </c>
      <c r="F25" s="116">
        <v>2449</v>
      </c>
      <c r="G25" s="116">
        <f t="shared" si="1"/>
        <v>760454</v>
      </c>
      <c r="H25" s="116">
        <v>32866</v>
      </c>
      <c r="I25" s="116">
        <v>57449</v>
      </c>
      <c r="J25" s="629">
        <v>964489</v>
      </c>
    </row>
    <row r="26" spans="1:10" s="558" customFormat="1" ht="15.75" customHeight="1">
      <c r="A26" s="1157">
        <v>22</v>
      </c>
      <c r="B26" s="5" t="s">
        <v>13</v>
      </c>
      <c r="C26" s="116">
        <v>134847</v>
      </c>
      <c r="D26" s="116">
        <v>745533</v>
      </c>
      <c r="E26" s="116">
        <v>44522</v>
      </c>
      <c r="F26" s="116">
        <v>1998</v>
      </c>
      <c r="G26" s="116">
        <f t="shared" si="1"/>
        <v>792053</v>
      </c>
      <c r="H26" s="116">
        <v>34228</v>
      </c>
      <c r="I26" s="116">
        <v>65520</v>
      </c>
      <c r="J26" s="629">
        <v>1026649</v>
      </c>
    </row>
    <row r="27" spans="1:10" s="558" customFormat="1" ht="15.75" customHeight="1">
      <c r="A27" s="1157">
        <v>23</v>
      </c>
      <c r="B27" s="5" t="s">
        <v>41</v>
      </c>
      <c r="C27" s="116">
        <v>129244</v>
      </c>
      <c r="D27" s="116">
        <v>835291</v>
      </c>
      <c r="E27" s="116">
        <v>41075</v>
      </c>
      <c r="F27" s="116">
        <v>1576</v>
      </c>
      <c r="G27" s="116">
        <f t="shared" si="1"/>
        <v>877942</v>
      </c>
      <c r="H27" s="116">
        <v>36102</v>
      </c>
      <c r="I27" s="116">
        <v>73563</v>
      </c>
      <c r="J27" s="629">
        <v>1116850</v>
      </c>
    </row>
    <row r="28" spans="1:10" s="558" customFormat="1" ht="15.75" customHeight="1">
      <c r="A28" s="1157">
        <v>24</v>
      </c>
      <c r="B28" s="5" t="s">
        <v>42</v>
      </c>
      <c r="C28" s="116">
        <v>121377</v>
      </c>
      <c r="D28" s="116">
        <v>895340</v>
      </c>
      <c r="E28" s="116">
        <v>47122</v>
      </c>
      <c r="F28" s="116">
        <v>551</v>
      </c>
      <c r="G28" s="116">
        <f t="shared" si="1"/>
        <v>943013</v>
      </c>
      <c r="H28" s="116">
        <v>37413</v>
      </c>
      <c r="I28" s="116">
        <v>65781</v>
      </c>
      <c r="J28" s="628">
        <v>1167584</v>
      </c>
    </row>
    <row r="29" spans="1:10" s="558" customFormat="1" ht="15.75" customHeight="1">
      <c r="A29" s="1157">
        <v>25</v>
      </c>
      <c r="B29" s="5" t="s">
        <v>479</v>
      </c>
      <c r="C29" s="116">
        <v>122378</v>
      </c>
      <c r="D29" s="116">
        <v>944022</v>
      </c>
      <c r="E29" s="116">
        <v>49093</v>
      </c>
      <c r="F29" s="116">
        <v>401</v>
      </c>
      <c r="G29" s="116">
        <f t="shared" si="1"/>
        <v>993516</v>
      </c>
      <c r="H29" s="116">
        <v>37916</v>
      </c>
      <c r="I29" s="116">
        <v>81548</v>
      </c>
      <c r="J29" s="628">
        <v>1235358</v>
      </c>
    </row>
    <row r="30" spans="1:10" s="558" customFormat="1" ht="15.75" customHeight="1">
      <c r="A30" s="1157">
        <v>26</v>
      </c>
      <c r="B30" s="5" t="s">
        <v>142</v>
      </c>
      <c r="C30" s="116">
        <v>126123</v>
      </c>
      <c r="D30" s="116">
        <v>986591</v>
      </c>
      <c r="E30" s="116">
        <v>50208</v>
      </c>
      <c r="F30" s="116">
        <v>347</v>
      </c>
      <c r="G30" s="116">
        <f t="shared" si="1"/>
        <v>1037146</v>
      </c>
      <c r="H30" s="116">
        <v>38346</v>
      </c>
      <c r="I30" s="116">
        <v>101839</v>
      </c>
      <c r="J30" s="628">
        <v>1303455</v>
      </c>
    </row>
    <row r="31" spans="1:10" s="558" customFormat="1" ht="15.75" customHeight="1">
      <c r="A31" s="1157">
        <f>A30+1</f>
        <v>27</v>
      </c>
      <c r="B31" s="627" t="s">
        <v>276</v>
      </c>
      <c r="C31" s="626">
        <v>134894</v>
      </c>
      <c r="D31" s="626">
        <v>1022265</v>
      </c>
      <c r="E31" s="626">
        <v>49834</v>
      </c>
      <c r="F31" s="626">
        <v>215</v>
      </c>
      <c r="G31" s="626">
        <f t="shared" si="1"/>
        <v>1072314</v>
      </c>
      <c r="H31" s="626">
        <v>37813</v>
      </c>
      <c r="I31" s="626">
        <v>126759</v>
      </c>
      <c r="J31" s="628">
        <v>1371776</v>
      </c>
    </row>
    <row r="32" spans="1:10" s="558" customFormat="1" ht="15.75" customHeight="1">
      <c r="A32" s="1157">
        <f>A31+1</f>
        <v>28</v>
      </c>
      <c r="B32" s="627" t="s">
        <v>522</v>
      </c>
      <c r="C32" s="626">
        <v>155769.12</v>
      </c>
      <c r="D32" s="626">
        <v>994196.99</v>
      </c>
      <c r="E32" s="626">
        <v>48442.64</v>
      </c>
      <c r="F32" s="626">
        <v>198.52611107000001</v>
      </c>
      <c r="G32" s="626">
        <v>1042838.15611107</v>
      </c>
      <c r="H32" s="626">
        <v>46472.45</v>
      </c>
      <c r="I32" s="626">
        <v>138337.0211914609</v>
      </c>
      <c r="J32" s="628">
        <v>1383416.7473025308</v>
      </c>
    </row>
    <row r="33" spans="1:10" s="558" customFormat="1" ht="15.75" customHeight="1">
      <c r="A33" s="1157">
        <f>A32+1</f>
        <v>29</v>
      </c>
      <c r="B33" s="627" t="s">
        <v>1238</v>
      </c>
      <c r="C33" s="626">
        <v>150299.51999999999</v>
      </c>
      <c r="D33" s="626">
        <v>981443.23</v>
      </c>
      <c r="E33" s="626">
        <v>50944</v>
      </c>
      <c r="F33" s="626">
        <v>126.31</v>
      </c>
      <c r="G33" s="626">
        <f>SUM(D33:F33)</f>
        <v>1032513.54</v>
      </c>
      <c r="H33" s="626">
        <v>43029.08</v>
      </c>
      <c r="I33" s="626">
        <v>147247.50794583402</v>
      </c>
      <c r="J33" s="628">
        <v>1373089.65</v>
      </c>
    </row>
    <row r="34" spans="1:10" s="558" customFormat="1" ht="15.75" customHeight="1">
      <c r="A34" s="1157">
        <v>30</v>
      </c>
      <c r="B34" s="627" t="s">
        <v>990</v>
      </c>
      <c r="C34" s="626">
        <v>151627.32999999999</v>
      </c>
      <c r="D34" s="626">
        <v>1078581.47</v>
      </c>
      <c r="E34" s="626">
        <v>36015</v>
      </c>
      <c r="F34" s="626">
        <v>214.15</v>
      </c>
      <c r="G34" s="626">
        <v>1114811.3899999999</v>
      </c>
      <c r="H34" s="626">
        <v>47112.06</v>
      </c>
      <c r="I34" s="626">
        <v>170912.3</v>
      </c>
      <c r="J34" s="628">
        <v>1484463.08</v>
      </c>
    </row>
    <row r="35" spans="1:10" s="558" customFormat="1" ht="16.5" customHeight="1">
      <c r="A35" s="2069" t="s">
        <v>1237</v>
      </c>
      <c r="B35" s="2070"/>
      <c r="C35" s="2070"/>
      <c r="D35" s="2070"/>
      <c r="E35" s="2070"/>
      <c r="F35" s="2070"/>
      <c r="G35" s="2070"/>
      <c r="H35" s="2070"/>
      <c r="I35" s="2070"/>
      <c r="J35" s="2071"/>
    </row>
    <row r="36" spans="1:10" s="558" customFormat="1" ht="15.75" customHeight="1">
      <c r="A36" s="2072" t="s">
        <v>1236</v>
      </c>
      <c r="B36" s="2073"/>
      <c r="C36" s="2073"/>
      <c r="D36" s="2073"/>
      <c r="E36" s="2073"/>
      <c r="F36" s="2073"/>
      <c r="G36" s="2073"/>
      <c r="H36" s="2073"/>
      <c r="I36" s="2073"/>
      <c r="J36" s="2074"/>
    </row>
    <row r="37" spans="1:10" s="558" customFormat="1" ht="15.75" customHeight="1" thickBot="1">
      <c r="A37" s="600"/>
      <c r="B37" s="561"/>
      <c r="C37" s="561"/>
      <c r="D37" s="561"/>
      <c r="E37" s="561"/>
      <c r="F37" s="561"/>
      <c r="G37" s="561"/>
      <c r="H37" s="561"/>
      <c r="I37" s="561"/>
      <c r="J37" s="599"/>
    </row>
    <row r="38" spans="1:10" ht="17.25" hidden="1" customHeight="1">
      <c r="A38" s="451" t="s">
        <v>1235</v>
      </c>
      <c r="B38" s="625"/>
      <c r="C38" s="621"/>
      <c r="D38" s="621"/>
      <c r="E38" s="621"/>
      <c r="F38" s="621"/>
      <c r="G38" s="621"/>
      <c r="H38" s="621"/>
      <c r="I38" s="621"/>
      <c r="J38" s="621"/>
    </row>
    <row r="39" spans="1:10" ht="15" hidden="1" customHeight="1">
      <c r="A39" s="451" t="s">
        <v>1234</v>
      </c>
      <c r="B39" s="624"/>
      <c r="C39" s="623"/>
      <c r="D39" s="623"/>
      <c r="E39" s="623"/>
      <c r="F39" s="623"/>
      <c r="G39" s="623"/>
      <c r="H39" s="623"/>
      <c r="I39" s="623"/>
      <c r="J39" s="623"/>
    </row>
    <row r="40" spans="1:10" ht="15.75" hidden="1" customHeight="1">
      <c r="A40" s="451" t="s">
        <v>1233</v>
      </c>
      <c r="B40" s="622"/>
      <c r="C40" s="621"/>
      <c r="D40" s="621"/>
      <c r="E40" s="621"/>
      <c r="F40" s="621"/>
      <c r="G40" s="621"/>
      <c r="H40" s="621"/>
      <c r="I40" s="621"/>
      <c r="J40" s="621"/>
    </row>
    <row r="41" spans="1:10" ht="15.75" thickTop="1"/>
  </sheetData>
  <mergeCells count="11">
    <mergeCell ref="J3:J4"/>
    <mergeCell ref="A35:J35"/>
    <mergeCell ref="A36:J36"/>
    <mergeCell ref="A1:J1"/>
    <mergeCell ref="A2:J2"/>
    <mergeCell ref="A3:A4"/>
    <mergeCell ref="B3:B4"/>
    <mergeCell ref="C3:C4"/>
    <mergeCell ref="D3:G3"/>
    <mergeCell ref="H3:H4"/>
    <mergeCell ref="I3:I4"/>
  </mergeCells>
  <conditionalFormatting sqref="K32:XFD34 A5:XFD31 A32:B34">
    <cfRule type="expression" dxfId="91" priority="2">
      <formula>MOD(ROW(),3)=1</formula>
    </cfRule>
  </conditionalFormatting>
  <conditionalFormatting sqref="C32:J34">
    <cfRule type="expression" dxfId="90" priority="1">
      <formula>MOD(ROW(),3)=1</formula>
    </cfRule>
  </conditionalFormatting>
  <printOptions horizontalCentered="1"/>
  <pageMargins left="0.23622047244094491" right="0.23622047244094491" top="0.74803149606299213" bottom="0.74803149606299213" header="0.31496062992125984" footer="0.31496062992125984"/>
  <pageSetup paperSize="9" firstPageNumber="90" fitToHeight="0" pageOrder="overThenDown" orientation="landscape" r:id="rId1"/>
  <rowBreaks count="1" manualBreakCount="1">
    <brk id="19" max="9" man="1"/>
  </row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B8A7D2-95F7-4B96-8DC4-109F62A69598}">
  <sheetPr>
    <pageSetUpPr fitToPage="1"/>
  </sheetPr>
  <dimension ref="A1:R72"/>
  <sheetViews>
    <sheetView view="pageBreakPreview" zoomScaleSheetLayoutView="100" workbookViewId="0">
      <selection activeCell="S17" sqref="S17"/>
    </sheetView>
  </sheetViews>
  <sheetFormatPr defaultColWidth="9" defaultRowHeight="15"/>
  <cols>
    <col min="1" max="1" width="7.5703125" style="633" customWidth="1"/>
    <col min="2" max="2" width="12.85546875" style="634" customWidth="1"/>
    <col min="3" max="3" width="10.85546875" style="633" hidden="1" customWidth="1"/>
    <col min="4" max="4" width="9.28515625" style="633" hidden="1" customWidth="1"/>
    <col min="5" max="5" width="8.5703125" style="633" hidden="1" customWidth="1"/>
    <col min="6" max="6" width="14.140625" style="633" customWidth="1"/>
    <col min="7" max="7" width="9.42578125" style="633" hidden="1" customWidth="1"/>
    <col min="8" max="8" width="8.85546875" style="633" hidden="1" customWidth="1"/>
    <col min="9" max="9" width="9.28515625" style="633" hidden="1" customWidth="1"/>
    <col min="10" max="10" width="6.85546875" style="633" hidden="1" customWidth="1"/>
    <col min="11" max="11" width="13.85546875" style="633" customWidth="1"/>
    <col min="12" max="12" width="7.85546875" style="632" hidden="1" customWidth="1"/>
    <col min="13" max="13" width="8.42578125" style="632" hidden="1" customWidth="1"/>
    <col min="14" max="14" width="8.7109375" style="632" hidden="1" customWidth="1"/>
    <col min="15" max="15" width="8.5703125" style="632" hidden="1" customWidth="1"/>
    <col min="16" max="16" width="14.5703125" style="632" customWidth="1"/>
    <col min="17" max="17" width="16.140625" style="632" customWidth="1"/>
    <col min="18" max="18" width="15" style="632" customWidth="1"/>
    <col min="19" max="16384" width="9" style="632"/>
  </cols>
  <sheetData>
    <row r="1" spans="1:18" s="637" customFormat="1" ht="21" customHeight="1" thickTop="1">
      <c r="A1" s="2088" t="s">
        <v>2581</v>
      </c>
      <c r="B1" s="2089"/>
      <c r="C1" s="2089"/>
      <c r="D1" s="2089"/>
      <c r="E1" s="2089"/>
      <c r="F1" s="2089"/>
      <c r="G1" s="2089"/>
      <c r="H1" s="2089"/>
      <c r="I1" s="2089"/>
      <c r="J1" s="2089"/>
      <c r="K1" s="2089"/>
      <c r="L1" s="2089"/>
      <c r="M1" s="2089"/>
      <c r="N1" s="2089"/>
      <c r="O1" s="2089"/>
      <c r="P1" s="2089"/>
      <c r="Q1" s="2089"/>
      <c r="R1" s="2090"/>
    </row>
    <row r="2" spans="1:18" s="637" customFormat="1" ht="21" customHeight="1">
      <c r="A2" s="2091" t="s">
        <v>2582</v>
      </c>
      <c r="B2" s="2092"/>
      <c r="C2" s="2092"/>
      <c r="D2" s="2092"/>
      <c r="E2" s="2092"/>
      <c r="F2" s="2092"/>
      <c r="G2" s="2092"/>
      <c r="H2" s="2092"/>
      <c r="I2" s="2092"/>
      <c r="J2" s="2092"/>
      <c r="K2" s="2092"/>
      <c r="L2" s="2092"/>
      <c r="M2" s="2092"/>
      <c r="N2" s="2092"/>
      <c r="O2" s="2092"/>
      <c r="P2" s="2092"/>
      <c r="Q2" s="2092"/>
      <c r="R2" s="2093"/>
    </row>
    <row r="3" spans="1:18" s="637" customFormat="1" ht="18.75" customHeight="1">
      <c r="A3" s="2094"/>
      <c r="B3" s="2095"/>
      <c r="C3" s="2095"/>
      <c r="D3" s="2095"/>
      <c r="E3" s="2095"/>
      <c r="F3" s="2095"/>
      <c r="G3" s="2095"/>
      <c r="H3" s="2095"/>
      <c r="I3" s="2095"/>
      <c r="J3" s="2095"/>
      <c r="K3" s="1261"/>
      <c r="Q3" s="2096" t="s">
        <v>1304</v>
      </c>
      <c r="R3" s="2097"/>
    </row>
    <row r="4" spans="1:18" ht="13.5" hidden="1" customHeight="1">
      <c r="A4" s="1262"/>
      <c r="B4" s="632"/>
      <c r="C4" s="2098" t="s">
        <v>1303</v>
      </c>
      <c r="D4" s="2098"/>
      <c r="E4" s="2098"/>
      <c r="F4" s="2098"/>
      <c r="G4" s="2098" t="s">
        <v>1302</v>
      </c>
      <c r="H4" s="2098"/>
      <c r="I4" s="2098"/>
      <c r="J4" s="2098"/>
      <c r="K4" s="1263"/>
      <c r="L4" s="2098" t="s">
        <v>1301</v>
      </c>
      <c r="M4" s="2098"/>
      <c r="N4" s="2098"/>
      <c r="O4" s="2098"/>
      <c r="P4" s="1263"/>
      <c r="Q4" s="1264" t="s">
        <v>137</v>
      </c>
      <c r="R4" s="1265" t="s">
        <v>0</v>
      </c>
    </row>
    <row r="5" spans="1:18" s="659" customFormat="1" ht="51" customHeight="1">
      <c r="A5" s="1266" t="s">
        <v>686</v>
      </c>
      <c r="B5" s="660" t="s">
        <v>1300</v>
      </c>
      <c r="C5" s="660" t="s">
        <v>1299</v>
      </c>
      <c r="D5" s="660" t="s">
        <v>1298</v>
      </c>
      <c r="E5" s="660" t="s">
        <v>1297</v>
      </c>
      <c r="F5" s="660" t="s">
        <v>1296</v>
      </c>
      <c r="G5" s="660" t="s">
        <v>1295</v>
      </c>
      <c r="H5" s="660" t="s">
        <v>1294</v>
      </c>
      <c r="I5" s="660" t="s">
        <v>1293</v>
      </c>
      <c r="J5" s="660" t="s">
        <v>1292</v>
      </c>
      <c r="K5" s="660" t="s">
        <v>1291</v>
      </c>
      <c r="L5" s="660" t="s">
        <v>1290</v>
      </c>
      <c r="M5" s="660" t="s">
        <v>1289</v>
      </c>
      <c r="N5" s="660" t="s">
        <v>1288</v>
      </c>
      <c r="O5" s="660" t="s">
        <v>1287</v>
      </c>
      <c r="P5" s="660" t="s">
        <v>1286</v>
      </c>
      <c r="Q5" s="660" t="s">
        <v>1285</v>
      </c>
      <c r="R5" s="1267" t="s">
        <v>721</v>
      </c>
    </row>
    <row r="6" spans="1:18" ht="12" hidden="1" customHeight="1">
      <c r="A6" s="1268">
        <v>1</v>
      </c>
      <c r="B6" s="658">
        <v>2</v>
      </c>
      <c r="C6" s="656">
        <v>3</v>
      </c>
      <c r="D6" s="658">
        <v>4</v>
      </c>
      <c r="E6" s="656">
        <v>5</v>
      </c>
      <c r="F6" s="656"/>
      <c r="G6" s="658">
        <v>6</v>
      </c>
      <c r="H6" s="656">
        <v>7</v>
      </c>
      <c r="I6" s="658">
        <v>8</v>
      </c>
      <c r="J6" s="656">
        <v>9</v>
      </c>
      <c r="K6" s="656"/>
      <c r="L6" s="657">
        <v>10</v>
      </c>
      <c r="M6" s="656">
        <v>11</v>
      </c>
      <c r="N6" s="657">
        <v>12</v>
      </c>
      <c r="O6" s="656">
        <v>13</v>
      </c>
      <c r="P6" s="656"/>
      <c r="Q6" s="657">
        <v>14</v>
      </c>
      <c r="R6" s="1269">
        <v>15</v>
      </c>
    </row>
    <row r="7" spans="1:18" s="655" customFormat="1" ht="18" hidden="1" customHeight="1">
      <c r="A7" s="1270">
        <v>1</v>
      </c>
      <c r="B7" s="654" t="s">
        <v>493</v>
      </c>
      <c r="C7" s="653">
        <v>169</v>
      </c>
      <c r="D7" s="653">
        <v>1526</v>
      </c>
      <c r="E7" s="653">
        <v>1205</v>
      </c>
      <c r="F7" s="653">
        <f t="shared" ref="F7:F38" si="0">SUM(C7:E7)</f>
        <v>2900</v>
      </c>
      <c r="G7" s="653">
        <v>2896</v>
      </c>
      <c r="H7" s="653">
        <v>710</v>
      </c>
      <c r="I7" s="653">
        <v>3840</v>
      </c>
      <c r="J7" s="653">
        <v>986</v>
      </c>
      <c r="K7" s="653">
        <f t="shared" ref="K7:K38" si="1">SUM(G7:J7)</f>
        <v>8432</v>
      </c>
      <c r="L7" s="653">
        <v>4090</v>
      </c>
      <c r="M7" s="653">
        <v>231</v>
      </c>
      <c r="N7" s="653">
        <v>151</v>
      </c>
      <c r="O7" s="653">
        <v>805</v>
      </c>
      <c r="P7" s="653">
        <f t="shared" ref="P7:P38" si="2">SUM(L7:O7)</f>
        <v>5277</v>
      </c>
      <c r="Q7" s="653">
        <v>501</v>
      </c>
      <c r="R7" s="1271">
        <v>17110</v>
      </c>
    </row>
    <row r="8" spans="1:18" ht="18" hidden="1" customHeight="1">
      <c r="A8" s="1272">
        <v>2</v>
      </c>
      <c r="B8" s="654" t="s">
        <v>1284</v>
      </c>
      <c r="C8" s="653">
        <v>195</v>
      </c>
      <c r="D8" s="653">
        <v>1615</v>
      </c>
      <c r="E8" s="653">
        <v>1217</v>
      </c>
      <c r="F8" s="653">
        <f t="shared" si="0"/>
        <v>3027</v>
      </c>
      <c r="G8" s="653">
        <v>2995</v>
      </c>
      <c r="H8" s="653">
        <v>808</v>
      </c>
      <c r="I8" s="653">
        <v>4356</v>
      </c>
      <c r="J8" s="653">
        <v>1065</v>
      </c>
      <c r="K8" s="653">
        <f t="shared" si="1"/>
        <v>9224</v>
      </c>
      <c r="L8" s="653">
        <v>4098</v>
      </c>
      <c r="M8" s="653">
        <v>140</v>
      </c>
      <c r="N8" s="653">
        <v>142</v>
      </c>
      <c r="O8" s="653">
        <v>1009</v>
      </c>
      <c r="P8" s="653">
        <f t="shared" si="2"/>
        <v>5389</v>
      </c>
      <c r="Q8" s="653">
        <v>999</v>
      </c>
      <c r="R8" s="1271">
        <v>18639</v>
      </c>
    </row>
    <row r="9" spans="1:18" ht="18" hidden="1" customHeight="1">
      <c r="A9" s="1272">
        <v>3</v>
      </c>
      <c r="B9" s="654" t="s">
        <v>1283</v>
      </c>
      <c r="C9" s="653">
        <v>227</v>
      </c>
      <c r="D9" s="653">
        <v>1581</v>
      </c>
      <c r="E9" s="653">
        <v>1330</v>
      </c>
      <c r="F9" s="653">
        <f t="shared" si="0"/>
        <v>3138</v>
      </c>
      <c r="G9" s="653">
        <v>2813</v>
      </c>
      <c r="H9" s="653">
        <v>801</v>
      </c>
      <c r="I9" s="653">
        <v>4598</v>
      </c>
      <c r="J9" s="653">
        <v>1010</v>
      </c>
      <c r="K9" s="653">
        <f t="shared" si="1"/>
        <v>9222</v>
      </c>
      <c r="L9" s="653">
        <v>3688</v>
      </c>
      <c r="M9" s="653">
        <v>304</v>
      </c>
      <c r="N9" s="653">
        <v>132</v>
      </c>
      <c r="O9" s="653">
        <v>1109</v>
      </c>
      <c r="P9" s="653">
        <f t="shared" si="2"/>
        <v>5233</v>
      </c>
      <c r="Q9" s="653">
        <v>267</v>
      </c>
      <c r="R9" s="1271">
        <v>17860</v>
      </c>
    </row>
    <row r="10" spans="1:18" ht="18" hidden="1" customHeight="1">
      <c r="A10" s="1272">
        <v>4</v>
      </c>
      <c r="B10" s="654" t="s">
        <v>1245</v>
      </c>
      <c r="C10" s="653">
        <v>259</v>
      </c>
      <c r="D10" s="653">
        <v>1647</v>
      </c>
      <c r="E10" s="653">
        <v>1438</v>
      </c>
      <c r="F10" s="653">
        <f t="shared" si="0"/>
        <v>3344</v>
      </c>
      <c r="G10" s="653">
        <v>2613</v>
      </c>
      <c r="H10" s="653">
        <v>875</v>
      </c>
      <c r="I10" s="653">
        <v>5039</v>
      </c>
      <c r="J10" s="653">
        <v>1079</v>
      </c>
      <c r="K10" s="653">
        <f t="shared" si="1"/>
        <v>9606</v>
      </c>
      <c r="L10" s="653">
        <v>3931</v>
      </c>
      <c r="M10" s="653">
        <v>318</v>
      </c>
      <c r="N10" s="653">
        <v>131</v>
      </c>
      <c r="O10" s="653">
        <v>1093</v>
      </c>
      <c r="P10" s="653">
        <f t="shared" si="2"/>
        <v>5473</v>
      </c>
      <c r="Q10" s="653">
        <v>1072</v>
      </c>
      <c r="R10" s="1271">
        <v>19495</v>
      </c>
    </row>
    <row r="11" spans="1:18" ht="18" hidden="1" customHeight="1">
      <c r="A11" s="1272">
        <v>5</v>
      </c>
      <c r="B11" s="654" t="s">
        <v>1282</v>
      </c>
      <c r="C11" s="653">
        <v>278</v>
      </c>
      <c r="D11" s="653">
        <v>1298</v>
      </c>
      <c r="E11" s="653">
        <v>1720</v>
      </c>
      <c r="F11" s="653">
        <f t="shared" si="0"/>
        <v>3296</v>
      </c>
      <c r="G11" s="653">
        <v>2052</v>
      </c>
      <c r="H11" s="653">
        <v>837</v>
      </c>
      <c r="I11" s="653">
        <v>6034</v>
      </c>
      <c r="J11" s="653">
        <v>1084</v>
      </c>
      <c r="K11" s="653">
        <f t="shared" si="1"/>
        <v>10007</v>
      </c>
      <c r="L11" s="653">
        <v>4243</v>
      </c>
      <c r="M11" s="653">
        <v>387</v>
      </c>
      <c r="N11" s="653">
        <v>137</v>
      </c>
      <c r="O11" s="653">
        <v>873</v>
      </c>
      <c r="P11" s="653">
        <f t="shared" si="2"/>
        <v>5640</v>
      </c>
      <c r="Q11" s="653">
        <v>668</v>
      </c>
      <c r="R11" s="1271">
        <v>19611</v>
      </c>
    </row>
    <row r="12" spans="1:18" ht="18" hidden="1" customHeight="1">
      <c r="A12" s="1272">
        <v>6</v>
      </c>
      <c r="B12" s="654" t="s">
        <v>1281</v>
      </c>
      <c r="C12" s="653">
        <v>331</v>
      </c>
      <c r="D12" s="653">
        <v>1275</v>
      </c>
      <c r="E12" s="653">
        <v>1910</v>
      </c>
      <c r="F12" s="653">
        <f t="shared" si="0"/>
        <v>3516</v>
      </c>
      <c r="G12" s="653">
        <v>2439</v>
      </c>
      <c r="H12" s="653">
        <v>925</v>
      </c>
      <c r="I12" s="653">
        <v>6285</v>
      </c>
      <c r="J12" s="653">
        <v>946</v>
      </c>
      <c r="K12" s="653">
        <f t="shared" si="1"/>
        <v>10595</v>
      </c>
      <c r="L12" s="653">
        <v>5083</v>
      </c>
      <c r="M12" s="653">
        <v>342</v>
      </c>
      <c r="N12" s="653">
        <v>160</v>
      </c>
      <c r="O12" s="653">
        <v>697</v>
      </c>
      <c r="P12" s="653">
        <f t="shared" si="2"/>
        <v>6282</v>
      </c>
      <c r="Q12" s="653">
        <v>436</v>
      </c>
      <c r="R12" s="1271">
        <v>20829</v>
      </c>
    </row>
    <row r="13" spans="1:18" ht="18" hidden="1" customHeight="1">
      <c r="A13" s="1272">
        <v>7</v>
      </c>
      <c r="B13" s="654" t="s">
        <v>1280</v>
      </c>
      <c r="C13" s="653">
        <v>363</v>
      </c>
      <c r="D13" s="653">
        <v>1340</v>
      </c>
      <c r="E13" s="653">
        <v>1986</v>
      </c>
      <c r="F13" s="653">
        <f t="shared" si="0"/>
        <v>3689</v>
      </c>
      <c r="G13" s="653">
        <v>2581</v>
      </c>
      <c r="H13" s="653">
        <v>1001</v>
      </c>
      <c r="I13" s="653">
        <v>6399</v>
      </c>
      <c r="J13" s="653">
        <v>1047</v>
      </c>
      <c r="K13" s="653">
        <f t="shared" si="1"/>
        <v>11028</v>
      </c>
      <c r="L13" s="653">
        <v>4728</v>
      </c>
      <c r="M13" s="653">
        <v>368</v>
      </c>
      <c r="N13" s="653">
        <v>163</v>
      </c>
      <c r="O13" s="653">
        <v>945</v>
      </c>
      <c r="P13" s="653">
        <f t="shared" si="2"/>
        <v>6204</v>
      </c>
      <c r="Q13" s="653">
        <v>511</v>
      </c>
      <c r="R13" s="1271">
        <v>21432</v>
      </c>
    </row>
    <row r="14" spans="1:18" ht="18" hidden="1" customHeight="1">
      <c r="A14" s="1272">
        <v>8</v>
      </c>
      <c r="B14" s="654" t="s">
        <v>1279</v>
      </c>
      <c r="C14" s="653">
        <v>383</v>
      </c>
      <c r="D14" s="653">
        <v>1423</v>
      </c>
      <c r="E14" s="653">
        <v>2120</v>
      </c>
      <c r="F14" s="653">
        <f t="shared" si="0"/>
        <v>3926</v>
      </c>
      <c r="G14" s="653">
        <v>2450</v>
      </c>
      <c r="H14" s="653">
        <v>1077</v>
      </c>
      <c r="I14" s="653">
        <v>7129</v>
      </c>
      <c r="J14" s="653">
        <v>1224</v>
      </c>
      <c r="K14" s="653">
        <f t="shared" si="1"/>
        <v>11880</v>
      </c>
      <c r="L14" s="653">
        <v>5332</v>
      </c>
      <c r="M14" s="653">
        <v>413</v>
      </c>
      <c r="N14" s="653">
        <v>155</v>
      </c>
      <c r="O14" s="653">
        <v>992</v>
      </c>
      <c r="P14" s="653">
        <f t="shared" si="2"/>
        <v>6892</v>
      </c>
      <c r="Q14" s="653">
        <v>521</v>
      </c>
      <c r="R14" s="1271">
        <v>23219</v>
      </c>
    </row>
    <row r="15" spans="1:18" ht="18" hidden="1" customHeight="1">
      <c r="A15" s="1272">
        <v>9</v>
      </c>
      <c r="B15" s="654" t="s">
        <v>1244</v>
      </c>
      <c r="C15" s="653">
        <v>403</v>
      </c>
      <c r="D15" s="653">
        <v>1515</v>
      </c>
      <c r="E15" s="653">
        <v>2262</v>
      </c>
      <c r="F15" s="653">
        <f t="shared" si="0"/>
        <v>4180</v>
      </c>
      <c r="G15" s="653">
        <v>2514</v>
      </c>
      <c r="H15" s="653">
        <v>1177</v>
      </c>
      <c r="I15" s="653">
        <v>7350</v>
      </c>
      <c r="J15" s="653">
        <v>1227</v>
      </c>
      <c r="K15" s="653">
        <f t="shared" si="1"/>
        <v>12268</v>
      </c>
      <c r="L15" s="653">
        <v>5644</v>
      </c>
      <c r="M15" s="653">
        <v>490</v>
      </c>
      <c r="N15" s="653">
        <v>122</v>
      </c>
      <c r="O15" s="653">
        <v>962</v>
      </c>
      <c r="P15" s="653">
        <f t="shared" si="2"/>
        <v>7218</v>
      </c>
      <c r="Q15" s="653">
        <v>527</v>
      </c>
      <c r="R15" s="1271">
        <v>24193</v>
      </c>
    </row>
    <row r="16" spans="1:18" ht="18" hidden="1" customHeight="1">
      <c r="A16" s="1272">
        <v>10</v>
      </c>
      <c r="B16" s="654" t="s">
        <v>1243</v>
      </c>
      <c r="C16" s="653">
        <v>406</v>
      </c>
      <c r="D16" s="653">
        <v>1512</v>
      </c>
      <c r="E16" s="653">
        <v>2415</v>
      </c>
      <c r="F16" s="653">
        <f t="shared" si="0"/>
        <v>4333</v>
      </c>
      <c r="G16" s="653">
        <v>2539</v>
      </c>
      <c r="H16" s="653">
        <v>1104</v>
      </c>
      <c r="I16" s="653">
        <v>7975</v>
      </c>
      <c r="J16" s="653">
        <v>1230</v>
      </c>
      <c r="K16" s="653">
        <f t="shared" si="1"/>
        <v>12848</v>
      </c>
      <c r="L16" s="653">
        <v>6351</v>
      </c>
      <c r="M16" s="653">
        <v>487</v>
      </c>
      <c r="N16" s="653">
        <v>99</v>
      </c>
      <c r="O16" s="653">
        <v>1103</v>
      </c>
      <c r="P16" s="653">
        <f t="shared" si="2"/>
        <v>8040</v>
      </c>
      <c r="Q16" s="653">
        <v>573</v>
      </c>
      <c r="R16" s="1271">
        <v>25794</v>
      </c>
    </row>
    <row r="17" spans="1:18" ht="18" hidden="1" customHeight="1">
      <c r="A17" s="1272">
        <v>11</v>
      </c>
      <c r="B17" s="654" t="s">
        <v>492</v>
      </c>
      <c r="C17" s="653">
        <v>366</v>
      </c>
      <c r="D17" s="653">
        <v>1519</v>
      </c>
      <c r="E17" s="653">
        <v>2115</v>
      </c>
      <c r="F17" s="653">
        <f t="shared" si="0"/>
        <v>4000</v>
      </c>
      <c r="G17" s="653">
        <v>2396</v>
      </c>
      <c r="H17" s="653">
        <v>1001</v>
      </c>
      <c r="I17" s="653">
        <v>7371</v>
      </c>
      <c r="J17" s="653">
        <v>1108</v>
      </c>
      <c r="K17" s="653">
        <f t="shared" si="1"/>
        <v>11876</v>
      </c>
      <c r="L17" s="653">
        <v>6120</v>
      </c>
      <c r="M17" s="653">
        <v>426</v>
      </c>
      <c r="N17" s="653">
        <v>86</v>
      </c>
      <c r="O17" s="653">
        <v>1082</v>
      </c>
      <c r="P17" s="653">
        <f t="shared" si="2"/>
        <v>7714</v>
      </c>
      <c r="Q17" s="653">
        <v>533</v>
      </c>
      <c r="R17" s="1271">
        <v>24123</v>
      </c>
    </row>
    <row r="18" spans="1:18" ht="18" hidden="1" customHeight="1">
      <c r="A18" s="1272">
        <v>12</v>
      </c>
      <c r="B18" s="654" t="s">
        <v>1278</v>
      </c>
      <c r="C18" s="653">
        <v>410</v>
      </c>
      <c r="D18" s="653">
        <v>1614</v>
      </c>
      <c r="E18" s="653">
        <v>3004</v>
      </c>
      <c r="F18" s="653">
        <f t="shared" si="0"/>
        <v>5028</v>
      </c>
      <c r="G18" s="653">
        <v>2907</v>
      </c>
      <c r="H18" s="653">
        <v>1009</v>
      </c>
      <c r="I18" s="653">
        <v>9042</v>
      </c>
      <c r="J18" s="653">
        <v>949</v>
      </c>
      <c r="K18" s="653">
        <f t="shared" si="1"/>
        <v>13907</v>
      </c>
      <c r="L18" s="653">
        <v>6908</v>
      </c>
      <c r="M18" s="653">
        <v>407</v>
      </c>
      <c r="N18" s="653">
        <v>141</v>
      </c>
      <c r="O18" s="653">
        <v>1298</v>
      </c>
      <c r="P18" s="653">
        <f t="shared" si="2"/>
        <v>8754</v>
      </c>
      <c r="Q18" s="653">
        <v>493</v>
      </c>
      <c r="R18" s="1271">
        <v>28182</v>
      </c>
    </row>
    <row r="19" spans="1:18" ht="18" hidden="1" customHeight="1">
      <c r="A19" s="1272">
        <v>13</v>
      </c>
      <c r="B19" s="654" t="s">
        <v>1277</v>
      </c>
      <c r="C19" s="653">
        <v>406</v>
      </c>
      <c r="D19" s="653">
        <v>1797</v>
      </c>
      <c r="E19" s="653">
        <v>2986</v>
      </c>
      <c r="F19" s="653">
        <f t="shared" si="0"/>
        <v>5189</v>
      </c>
      <c r="G19" s="653">
        <v>3393</v>
      </c>
      <c r="H19" s="653">
        <v>1137</v>
      </c>
      <c r="I19" s="653">
        <v>9761</v>
      </c>
      <c r="J19" s="653">
        <v>1121</v>
      </c>
      <c r="K19" s="653">
        <f t="shared" si="1"/>
        <v>15412</v>
      </c>
      <c r="L19" s="653">
        <v>7964</v>
      </c>
      <c r="M19" s="653">
        <v>434</v>
      </c>
      <c r="N19" s="653">
        <v>149</v>
      </c>
      <c r="O19" s="653">
        <v>1397</v>
      </c>
      <c r="P19" s="653">
        <f t="shared" si="2"/>
        <v>9944</v>
      </c>
      <c r="Q19" s="653">
        <v>528</v>
      </c>
      <c r="R19" s="1271">
        <v>31073</v>
      </c>
    </row>
    <row r="20" spans="1:18" ht="18" hidden="1" customHeight="1">
      <c r="A20" s="1272">
        <v>14</v>
      </c>
      <c r="B20" s="654" t="s">
        <v>1276</v>
      </c>
      <c r="C20" s="653">
        <v>514</v>
      </c>
      <c r="D20" s="653">
        <v>1937</v>
      </c>
      <c r="E20" s="653">
        <v>3578</v>
      </c>
      <c r="F20" s="653">
        <f t="shared" si="0"/>
        <v>6029</v>
      </c>
      <c r="G20" s="653">
        <v>3528</v>
      </c>
      <c r="H20" s="653">
        <v>1195</v>
      </c>
      <c r="I20" s="653">
        <v>10862</v>
      </c>
      <c r="J20" s="653">
        <v>1081</v>
      </c>
      <c r="K20" s="653">
        <f t="shared" si="1"/>
        <v>16666</v>
      </c>
      <c r="L20" s="653">
        <v>8000</v>
      </c>
      <c r="M20" s="653">
        <v>470</v>
      </c>
      <c r="N20" s="653">
        <v>136</v>
      </c>
      <c r="O20" s="653">
        <v>1069</v>
      </c>
      <c r="P20" s="653">
        <f t="shared" si="2"/>
        <v>9675</v>
      </c>
      <c r="Q20" s="653">
        <v>556</v>
      </c>
      <c r="R20" s="1271">
        <v>32926</v>
      </c>
    </row>
    <row r="21" spans="1:18" ht="18" hidden="1" customHeight="1">
      <c r="A21" s="1272">
        <v>15</v>
      </c>
      <c r="B21" s="654" t="s">
        <v>1242</v>
      </c>
      <c r="C21" s="653">
        <v>596</v>
      </c>
      <c r="D21" s="653">
        <v>2144</v>
      </c>
      <c r="E21" s="653">
        <v>3470</v>
      </c>
      <c r="F21" s="653">
        <f t="shared" si="0"/>
        <v>6210</v>
      </c>
      <c r="G21" s="653">
        <v>3364</v>
      </c>
      <c r="H21" s="653">
        <v>1297</v>
      </c>
      <c r="I21" s="653">
        <v>11086</v>
      </c>
      <c r="J21" s="653">
        <v>1253</v>
      </c>
      <c r="K21" s="653">
        <f t="shared" si="1"/>
        <v>17000</v>
      </c>
      <c r="L21" s="653">
        <v>7886</v>
      </c>
      <c r="M21" s="653">
        <v>414</v>
      </c>
      <c r="N21" s="653">
        <v>181</v>
      </c>
      <c r="O21" s="653">
        <v>944</v>
      </c>
      <c r="P21" s="653">
        <f t="shared" si="2"/>
        <v>9425</v>
      </c>
      <c r="Q21" s="653">
        <v>601</v>
      </c>
      <c r="R21" s="1271">
        <v>33236</v>
      </c>
    </row>
    <row r="22" spans="1:18" ht="18" hidden="1" customHeight="1">
      <c r="A22" s="1272">
        <v>16</v>
      </c>
      <c r="B22" s="654" t="s">
        <v>1275</v>
      </c>
      <c r="C22" s="653">
        <v>867</v>
      </c>
      <c r="D22" s="653">
        <v>2309</v>
      </c>
      <c r="E22" s="653">
        <v>4955</v>
      </c>
      <c r="F22" s="653">
        <f t="shared" si="0"/>
        <v>8131</v>
      </c>
      <c r="G22" s="653">
        <v>4030</v>
      </c>
      <c r="H22" s="653">
        <v>1519</v>
      </c>
      <c r="I22" s="653">
        <v>14624</v>
      </c>
      <c r="J22" s="653">
        <v>1177</v>
      </c>
      <c r="K22" s="653">
        <f t="shared" si="1"/>
        <v>21350</v>
      </c>
      <c r="L22" s="653">
        <v>7955</v>
      </c>
      <c r="M22" s="653">
        <v>501</v>
      </c>
      <c r="N22" s="653">
        <v>192</v>
      </c>
      <c r="O22" s="653">
        <v>1107</v>
      </c>
      <c r="P22" s="653">
        <f t="shared" si="2"/>
        <v>9755</v>
      </c>
      <c r="Q22" s="653">
        <v>645</v>
      </c>
      <c r="R22" s="1271">
        <v>39881</v>
      </c>
    </row>
    <row r="23" spans="1:18" ht="18" hidden="1" customHeight="1">
      <c r="A23" s="1272">
        <v>17</v>
      </c>
      <c r="B23" s="654" t="s">
        <v>1274</v>
      </c>
      <c r="C23" s="653">
        <v>995</v>
      </c>
      <c r="D23" s="653">
        <v>2515</v>
      </c>
      <c r="E23" s="653">
        <v>5437</v>
      </c>
      <c r="F23" s="653">
        <f t="shared" si="0"/>
        <v>8947</v>
      </c>
      <c r="G23" s="653">
        <v>4912</v>
      </c>
      <c r="H23" s="653">
        <v>1553</v>
      </c>
      <c r="I23" s="653">
        <v>15450</v>
      </c>
      <c r="J23" s="653">
        <v>1172</v>
      </c>
      <c r="K23" s="653">
        <f t="shared" si="1"/>
        <v>23087</v>
      </c>
      <c r="L23" s="653">
        <v>8011</v>
      </c>
      <c r="M23" s="653">
        <v>491</v>
      </c>
      <c r="N23" s="653">
        <v>264</v>
      </c>
      <c r="O23" s="653">
        <v>1224</v>
      </c>
      <c r="P23" s="653">
        <f t="shared" si="2"/>
        <v>9990</v>
      </c>
      <c r="Q23" s="653">
        <v>737</v>
      </c>
      <c r="R23" s="1271">
        <v>42761</v>
      </c>
    </row>
    <row r="24" spans="1:18" ht="18" hidden="1" customHeight="1">
      <c r="A24" s="1272">
        <v>18</v>
      </c>
      <c r="B24" s="654" t="s">
        <v>1273</v>
      </c>
      <c r="C24" s="653">
        <v>1026</v>
      </c>
      <c r="D24" s="653">
        <v>2662</v>
      </c>
      <c r="E24" s="653">
        <v>5462</v>
      </c>
      <c r="F24" s="653">
        <f t="shared" si="0"/>
        <v>9150</v>
      </c>
      <c r="G24" s="653">
        <v>5104</v>
      </c>
      <c r="H24" s="653">
        <v>1695</v>
      </c>
      <c r="I24" s="653">
        <v>16296</v>
      </c>
      <c r="J24" s="653">
        <v>1259</v>
      </c>
      <c r="K24" s="653">
        <f t="shared" si="1"/>
        <v>24354</v>
      </c>
      <c r="L24" s="653">
        <v>8466</v>
      </c>
      <c r="M24" s="653">
        <v>478</v>
      </c>
      <c r="N24" s="653">
        <v>257</v>
      </c>
      <c r="O24" s="653">
        <v>1370</v>
      </c>
      <c r="P24" s="653">
        <f t="shared" si="2"/>
        <v>10571</v>
      </c>
      <c r="Q24" s="653">
        <v>653</v>
      </c>
      <c r="R24" s="1271">
        <v>44728</v>
      </c>
    </row>
    <row r="25" spans="1:18" ht="18" hidden="1" customHeight="1">
      <c r="A25" s="1272">
        <v>19</v>
      </c>
      <c r="B25" s="654" t="s">
        <v>1272</v>
      </c>
      <c r="C25" s="653">
        <v>1034</v>
      </c>
      <c r="D25" s="653">
        <v>2822</v>
      </c>
      <c r="E25" s="653">
        <v>5378</v>
      </c>
      <c r="F25" s="653">
        <f t="shared" si="0"/>
        <v>9234</v>
      </c>
      <c r="G25" s="653">
        <v>5201</v>
      </c>
      <c r="H25" s="653">
        <v>1753</v>
      </c>
      <c r="I25" s="653">
        <v>16656</v>
      </c>
      <c r="J25" s="653">
        <v>1468</v>
      </c>
      <c r="K25" s="653">
        <f t="shared" si="1"/>
        <v>25078</v>
      </c>
      <c r="L25" s="653">
        <v>8171</v>
      </c>
      <c r="M25" s="653">
        <v>497</v>
      </c>
      <c r="N25" s="653">
        <v>275</v>
      </c>
      <c r="O25" s="653">
        <v>1548</v>
      </c>
      <c r="P25" s="653">
        <f t="shared" si="2"/>
        <v>10491</v>
      </c>
      <c r="Q25" s="653">
        <v>896</v>
      </c>
      <c r="R25" s="1271">
        <v>45699</v>
      </c>
    </row>
    <row r="26" spans="1:18" ht="18" hidden="1" customHeight="1">
      <c r="A26" s="1272">
        <v>20</v>
      </c>
      <c r="B26" s="654" t="s">
        <v>1241</v>
      </c>
      <c r="C26" s="653">
        <v>1179</v>
      </c>
      <c r="D26" s="653">
        <v>3328</v>
      </c>
      <c r="E26" s="653">
        <v>5227</v>
      </c>
      <c r="F26" s="653">
        <f t="shared" si="0"/>
        <v>9734</v>
      </c>
      <c r="G26" s="653">
        <v>5700</v>
      </c>
      <c r="H26" s="653">
        <v>1575</v>
      </c>
      <c r="I26" s="653">
        <v>17737</v>
      </c>
      <c r="J26" s="653">
        <v>1540</v>
      </c>
      <c r="K26" s="653">
        <f t="shared" si="1"/>
        <v>26552</v>
      </c>
      <c r="L26" s="653">
        <v>8952</v>
      </c>
      <c r="M26" s="653">
        <v>547</v>
      </c>
      <c r="N26" s="653">
        <v>275</v>
      </c>
      <c r="O26" s="653">
        <v>1671</v>
      </c>
      <c r="P26" s="653">
        <f t="shared" si="2"/>
        <v>11445</v>
      </c>
      <c r="Q26" s="653">
        <v>959</v>
      </c>
      <c r="R26" s="1271">
        <v>48690</v>
      </c>
    </row>
    <row r="27" spans="1:18" ht="18" customHeight="1">
      <c r="A27" s="1272">
        <v>1</v>
      </c>
      <c r="B27" s="654" t="s">
        <v>491</v>
      </c>
      <c r="C27" s="653">
        <v>1221</v>
      </c>
      <c r="D27" s="653">
        <v>3552</v>
      </c>
      <c r="E27" s="653">
        <v>4859</v>
      </c>
      <c r="F27" s="646">
        <f t="shared" si="0"/>
        <v>9632</v>
      </c>
      <c r="G27" s="646">
        <v>5471</v>
      </c>
      <c r="H27" s="646">
        <v>1801</v>
      </c>
      <c r="I27" s="646">
        <v>17185</v>
      </c>
      <c r="J27" s="646">
        <v>1509</v>
      </c>
      <c r="K27" s="646">
        <f t="shared" si="1"/>
        <v>25966</v>
      </c>
      <c r="L27" s="646">
        <v>9429</v>
      </c>
      <c r="M27" s="646">
        <v>561</v>
      </c>
      <c r="N27" s="646">
        <v>229</v>
      </c>
      <c r="O27" s="646">
        <v>1603</v>
      </c>
      <c r="P27" s="646">
        <f t="shared" si="2"/>
        <v>11822</v>
      </c>
      <c r="Q27" s="646">
        <v>1142</v>
      </c>
      <c r="R27" s="1273">
        <v>48562</v>
      </c>
    </row>
    <row r="28" spans="1:18" ht="18" customHeight="1">
      <c r="A28" s="1272">
        <v>2</v>
      </c>
      <c r="B28" s="654" t="s">
        <v>1240</v>
      </c>
      <c r="C28" s="653">
        <v>1250</v>
      </c>
      <c r="D28" s="653">
        <v>3420</v>
      </c>
      <c r="E28" s="653">
        <v>4546</v>
      </c>
      <c r="F28" s="646">
        <f t="shared" si="0"/>
        <v>9216</v>
      </c>
      <c r="G28" s="646">
        <v>5339</v>
      </c>
      <c r="H28" s="646">
        <v>1539</v>
      </c>
      <c r="I28" s="646">
        <v>17404</v>
      </c>
      <c r="J28" s="646">
        <v>1482</v>
      </c>
      <c r="K28" s="646">
        <f t="shared" si="1"/>
        <v>25764</v>
      </c>
      <c r="L28" s="646">
        <v>9637</v>
      </c>
      <c r="M28" s="646">
        <v>390</v>
      </c>
      <c r="N28" s="646">
        <v>216</v>
      </c>
      <c r="O28" s="646">
        <v>1710</v>
      </c>
      <c r="P28" s="646">
        <f t="shared" si="2"/>
        <v>11953</v>
      </c>
      <c r="Q28" s="646">
        <v>1416</v>
      </c>
      <c r="R28" s="1273">
        <v>48349</v>
      </c>
    </row>
    <row r="29" spans="1:18" ht="18" customHeight="1">
      <c r="A29" s="1272">
        <v>3</v>
      </c>
      <c r="B29" s="654" t="s">
        <v>1271</v>
      </c>
      <c r="C29" s="653">
        <v>1249</v>
      </c>
      <c r="D29" s="653">
        <v>3709</v>
      </c>
      <c r="E29" s="653">
        <v>4586</v>
      </c>
      <c r="F29" s="646">
        <f t="shared" si="0"/>
        <v>9544</v>
      </c>
      <c r="G29" s="646">
        <v>5199</v>
      </c>
      <c r="H29" s="646">
        <v>1636</v>
      </c>
      <c r="I29" s="646">
        <v>18289</v>
      </c>
      <c r="J29" s="646">
        <v>1453</v>
      </c>
      <c r="K29" s="646">
        <f t="shared" si="1"/>
        <v>26577</v>
      </c>
      <c r="L29" s="646">
        <v>10403</v>
      </c>
      <c r="M29" s="646">
        <v>533</v>
      </c>
      <c r="N29" s="646">
        <v>221</v>
      </c>
      <c r="O29" s="646">
        <v>1862</v>
      </c>
      <c r="P29" s="646">
        <f t="shared" si="2"/>
        <v>13019</v>
      </c>
      <c r="Q29" s="646">
        <v>1219</v>
      </c>
      <c r="R29" s="1273">
        <v>50359</v>
      </c>
    </row>
    <row r="30" spans="1:18" ht="18" customHeight="1">
      <c r="A30" s="1272">
        <v>4</v>
      </c>
      <c r="B30" s="654" t="s">
        <v>1270</v>
      </c>
      <c r="C30" s="653">
        <v>1314</v>
      </c>
      <c r="D30" s="653">
        <v>3843</v>
      </c>
      <c r="E30" s="653">
        <v>4666</v>
      </c>
      <c r="F30" s="646">
        <f t="shared" si="0"/>
        <v>9823</v>
      </c>
      <c r="G30" s="646">
        <v>5270</v>
      </c>
      <c r="H30" s="646">
        <v>1788</v>
      </c>
      <c r="I30" s="646">
        <v>18809</v>
      </c>
      <c r="J30" s="646">
        <v>1474</v>
      </c>
      <c r="K30" s="646">
        <f t="shared" si="1"/>
        <v>27341</v>
      </c>
      <c r="L30" s="646">
        <v>10304</v>
      </c>
      <c r="M30" s="646">
        <v>489</v>
      </c>
      <c r="N30" s="646">
        <v>233</v>
      </c>
      <c r="O30" s="646">
        <v>1874</v>
      </c>
      <c r="P30" s="646">
        <f t="shared" si="2"/>
        <v>12900</v>
      </c>
      <c r="Q30" s="646">
        <v>1020</v>
      </c>
      <c r="R30" s="1273">
        <v>51084</v>
      </c>
    </row>
    <row r="31" spans="1:18" ht="18" customHeight="1">
      <c r="A31" s="1272">
        <v>5</v>
      </c>
      <c r="B31" s="650" t="s">
        <v>1269</v>
      </c>
      <c r="C31" s="650">
        <v>1432</v>
      </c>
      <c r="D31" s="650">
        <v>4129</v>
      </c>
      <c r="E31" s="653">
        <v>5662</v>
      </c>
      <c r="F31" s="646">
        <f t="shared" si="0"/>
        <v>11223</v>
      </c>
      <c r="G31" s="646">
        <v>5261</v>
      </c>
      <c r="H31" s="646">
        <v>1968</v>
      </c>
      <c r="I31" s="646">
        <v>19593</v>
      </c>
      <c r="J31" s="652">
        <v>1364</v>
      </c>
      <c r="K31" s="646">
        <f t="shared" si="1"/>
        <v>28186</v>
      </c>
      <c r="L31" s="646">
        <v>9822</v>
      </c>
      <c r="M31" s="646">
        <v>504</v>
      </c>
      <c r="N31" s="646">
        <v>259</v>
      </c>
      <c r="O31" s="646">
        <v>1845</v>
      </c>
      <c r="P31" s="646">
        <f t="shared" si="2"/>
        <v>12430</v>
      </c>
      <c r="Q31" s="646">
        <v>1088</v>
      </c>
      <c r="R31" s="1273">
        <v>52927</v>
      </c>
    </row>
    <row r="32" spans="1:18" ht="18" customHeight="1">
      <c r="A32" s="1272">
        <v>6</v>
      </c>
      <c r="B32" s="650" t="s">
        <v>1268</v>
      </c>
      <c r="C32" s="650">
        <v>1539</v>
      </c>
      <c r="D32" s="650">
        <v>4462</v>
      </c>
      <c r="E32" s="653">
        <v>5975</v>
      </c>
      <c r="F32" s="646">
        <f t="shared" si="0"/>
        <v>11976</v>
      </c>
      <c r="G32" s="646">
        <v>5267</v>
      </c>
      <c r="H32" s="646">
        <v>2127</v>
      </c>
      <c r="I32" s="646">
        <v>20661</v>
      </c>
      <c r="J32" s="652">
        <v>1351</v>
      </c>
      <c r="K32" s="646">
        <f t="shared" si="1"/>
        <v>29406</v>
      </c>
      <c r="L32" s="646">
        <v>9579</v>
      </c>
      <c r="M32" s="646">
        <v>633</v>
      </c>
      <c r="N32" s="646">
        <v>256</v>
      </c>
      <c r="O32" s="646">
        <v>2032</v>
      </c>
      <c r="P32" s="646">
        <f t="shared" si="2"/>
        <v>12500</v>
      </c>
      <c r="Q32" s="646">
        <v>1199</v>
      </c>
      <c r="R32" s="1273">
        <v>55081</v>
      </c>
    </row>
    <row r="33" spans="1:18" ht="18" customHeight="1">
      <c r="A33" s="1272">
        <v>7</v>
      </c>
      <c r="B33" s="650" t="s">
        <v>1239</v>
      </c>
      <c r="C33" s="650">
        <v>1598</v>
      </c>
      <c r="D33" s="650">
        <v>4704</v>
      </c>
      <c r="E33" s="653">
        <v>6123</v>
      </c>
      <c r="F33" s="646">
        <f t="shared" si="0"/>
        <v>12425</v>
      </c>
      <c r="G33" s="646">
        <v>6236</v>
      </c>
      <c r="H33" s="646">
        <v>2119</v>
      </c>
      <c r="I33" s="646">
        <v>22202</v>
      </c>
      <c r="J33" s="652">
        <v>1286</v>
      </c>
      <c r="K33" s="646">
        <f t="shared" si="1"/>
        <v>31843</v>
      </c>
      <c r="L33" s="646">
        <v>10298</v>
      </c>
      <c r="M33" s="646">
        <v>619</v>
      </c>
      <c r="N33" s="646">
        <v>246</v>
      </c>
      <c r="O33" s="646">
        <v>2283</v>
      </c>
      <c r="P33" s="646">
        <f t="shared" si="2"/>
        <v>13446</v>
      </c>
      <c r="Q33" s="646">
        <v>1291</v>
      </c>
      <c r="R33" s="1273">
        <v>59005</v>
      </c>
    </row>
    <row r="34" spans="1:18" ht="18" customHeight="1">
      <c r="A34" s="1272">
        <v>8</v>
      </c>
      <c r="B34" s="650" t="s">
        <v>935</v>
      </c>
      <c r="C34" s="650">
        <v>1666</v>
      </c>
      <c r="D34" s="650">
        <v>4849</v>
      </c>
      <c r="E34" s="653">
        <v>6103</v>
      </c>
      <c r="F34" s="646">
        <f t="shared" si="0"/>
        <v>12618</v>
      </c>
      <c r="G34" s="646">
        <v>6701</v>
      </c>
      <c r="H34" s="646">
        <v>2147</v>
      </c>
      <c r="I34" s="646">
        <v>23354</v>
      </c>
      <c r="J34" s="652">
        <v>1246</v>
      </c>
      <c r="K34" s="646">
        <f t="shared" si="1"/>
        <v>33448</v>
      </c>
      <c r="L34" s="646">
        <v>11080</v>
      </c>
      <c r="M34" s="646">
        <v>593</v>
      </c>
      <c r="N34" s="646">
        <v>282</v>
      </c>
      <c r="O34" s="646">
        <v>2158</v>
      </c>
      <c r="P34" s="646">
        <f t="shared" si="2"/>
        <v>14113</v>
      </c>
      <c r="Q34" s="646">
        <v>1129</v>
      </c>
      <c r="R34" s="1273">
        <v>61308</v>
      </c>
    </row>
    <row r="35" spans="1:18" ht="18" customHeight="1">
      <c r="A35" s="1272">
        <v>9</v>
      </c>
      <c r="B35" s="650" t="s">
        <v>934</v>
      </c>
      <c r="C35" s="650">
        <v>1724</v>
      </c>
      <c r="D35" s="650">
        <v>5573</v>
      </c>
      <c r="E35" s="653">
        <v>6081</v>
      </c>
      <c r="F35" s="646">
        <f t="shared" si="0"/>
        <v>13378</v>
      </c>
      <c r="G35" s="646">
        <v>5341</v>
      </c>
      <c r="H35" s="646">
        <v>2289</v>
      </c>
      <c r="I35" s="646">
        <v>26716</v>
      </c>
      <c r="J35" s="652">
        <v>1336</v>
      </c>
      <c r="K35" s="646">
        <f t="shared" si="1"/>
        <v>35682</v>
      </c>
      <c r="L35" s="646">
        <v>11030</v>
      </c>
      <c r="M35" s="646">
        <v>586</v>
      </c>
      <c r="N35" s="646">
        <v>286</v>
      </c>
      <c r="O35" s="646">
        <v>2419</v>
      </c>
      <c r="P35" s="646">
        <f t="shared" si="2"/>
        <v>14321</v>
      </c>
      <c r="Q35" s="646">
        <v>1163</v>
      </c>
      <c r="R35" s="1273">
        <v>64544</v>
      </c>
    </row>
    <row r="36" spans="1:18" ht="18" customHeight="1">
      <c r="A36" s="1272">
        <v>10</v>
      </c>
      <c r="B36" s="650" t="s">
        <v>933</v>
      </c>
      <c r="C36" s="649">
        <v>2487</v>
      </c>
      <c r="D36" s="650">
        <v>6232</v>
      </c>
      <c r="E36" s="653">
        <v>8170</v>
      </c>
      <c r="F36" s="646">
        <f t="shared" si="0"/>
        <v>16889</v>
      </c>
      <c r="G36" s="646">
        <v>5735</v>
      </c>
      <c r="H36" s="646">
        <v>2292</v>
      </c>
      <c r="I36" s="646">
        <v>34793</v>
      </c>
      <c r="J36" s="652">
        <v>1624</v>
      </c>
      <c r="K36" s="646">
        <f t="shared" si="1"/>
        <v>44444</v>
      </c>
      <c r="L36" s="646">
        <v>11352</v>
      </c>
      <c r="M36" s="646">
        <v>728</v>
      </c>
      <c r="N36" s="646">
        <v>465</v>
      </c>
      <c r="O36" s="646">
        <v>2485</v>
      </c>
      <c r="P36" s="646">
        <f t="shared" si="2"/>
        <v>15030</v>
      </c>
      <c r="Q36" s="646">
        <v>3048</v>
      </c>
      <c r="R36" s="1273">
        <v>79411</v>
      </c>
    </row>
    <row r="37" spans="1:18" ht="18" customHeight="1">
      <c r="A37" s="1272">
        <v>11</v>
      </c>
      <c r="B37" s="650" t="s">
        <v>932</v>
      </c>
      <c r="C37" s="650">
        <v>4088</v>
      </c>
      <c r="D37" s="650">
        <v>8070</v>
      </c>
      <c r="E37" s="653">
        <v>9908</v>
      </c>
      <c r="F37" s="646">
        <f t="shared" si="0"/>
        <v>22066</v>
      </c>
      <c r="G37" s="646">
        <v>8714</v>
      </c>
      <c r="H37" s="646">
        <v>2513</v>
      </c>
      <c r="I37" s="648">
        <v>39052</v>
      </c>
      <c r="J37" s="652">
        <v>1481</v>
      </c>
      <c r="K37" s="646">
        <f t="shared" si="1"/>
        <v>51760</v>
      </c>
      <c r="L37" s="647">
        <v>11392</v>
      </c>
      <c r="M37" s="647">
        <v>684</v>
      </c>
      <c r="N37" s="651">
        <v>2473</v>
      </c>
      <c r="O37" s="647">
        <v>2721</v>
      </c>
      <c r="P37" s="646">
        <f t="shared" si="2"/>
        <v>17270</v>
      </c>
      <c r="Q37" s="647">
        <v>4518</v>
      </c>
      <c r="R37" s="1274">
        <v>95614</v>
      </c>
    </row>
    <row r="38" spans="1:18" ht="18" customHeight="1">
      <c r="A38" s="1272">
        <v>12</v>
      </c>
      <c r="B38" s="650" t="s">
        <v>931</v>
      </c>
      <c r="C38" s="649">
        <v>4778</v>
      </c>
      <c r="D38" s="649">
        <v>9699</v>
      </c>
      <c r="E38" s="649">
        <v>9180</v>
      </c>
      <c r="F38" s="646">
        <f t="shared" si="0"/>
        <v>23657</v>
      </c>
      <c r="G38" s="647">
        <v>9681</v>
      </c>
      <c r="H38" s="647">
        <v>2595</v>
      </c>
      <c r="I38" s="648">
        <v>39899</v>
      </c>
      <c r="J38" s="647">
        <v>1703</v>
      </c>
      <c r="K38" s="646">
        <f t="shared" si="1"/>
        <v>53878</v>
      </c>
      <c r="L38" s="647">
        <v>12227</v>
      </c>
      <c r="M38" s="647">
        <v>651</v>
      </c>
      <c r="N38" s="647">
        <v>2784</v>
      </c>
      <c r="O38" s="647">
        <v>2561</v>
      </c>
      <c r="P38" s="646">
        <f t="shared" si="2"/>
        <v>18223</v>
      </c>
      <c r="Q38" s="647">
        <v>4246</v>
      </c>
      <c r="R38" s="1274">
        <v>100004</v>
      </c>
    </row>
    <row r="39" spans="1:18" ht="18" customHeight="1">
      <c r="A39" s="1272">
        <v>13</v>
      </c>
      <c r="B39" s="650" t="s">
        <v>930</v>
      </c>
      <c r="C39" s="649">
        <v>4903</v>
      </c>
      <c r="D39" s="649">
        <v>10361</v>
      </c>
      <c r="E39" s="649">
        <v>9650</v>
      </c>
      <c r="F39" s="646">
        <f t="shared" ref="F39:F55" si="3">SUM(C39:E39)</f>
        <v>24914</v>
      </c>
      <c r="G39" s="647">
        <v>10028</v>
      </c>
      <c r="H39" s="646">
        <v>3053</v>
      </c>
      <c r="I39" s="648">
        <v>40207</v>
      </c>
      <c r="J39" s="647">
        <v>2079</v>
      </c>
      <c r="K39" s="646">
        <f t="shared" ref="K39:K55" si="4">SUM(G39:J39)</f>
        <v>55367</v>
      </c>
      <c r="L39" s="647">
        <v>12167</v>
      </c>
      <c r="M39" s="646">
        <v>684</v>
      </c>
      <c r="N39" s="647">
        <v>2659</v>
      </c>
      <c r="O39" s="647">
        <v>2941</v>
      </c>
      <c r="P39" s="646">
        <f t="shared" ref="P39:P55" si="5">SUM(L39:O39)</f>
        <v>18451</v>
      </c>
      <c r="Q39" s="647">
        <v>5408</v>
      </c>
      <c r="R39" s="1274">
        <v>104140</v>
      </c>
    </row>
    <row r="40" spans="1:18" ht="18" customHeight="1">
      <c r="A40" s="1272">
        <v>14</v>
      </c>
      <c r="B40" s="650" t="s">
        <v>487</v>
      </c>
      <c r="C40" s="649">
        <v>5348</v>
      </c>
      <c r="D40" s="649">
        <v>10999</v>
      </c>
      <c r="E40" s="649">
        <v>11317</v>
      </c>
      <c r="F40" s="646">
        <f t="shared" si="3"/>
        <v>27664</v>
      </c>
      <c r="G40" s="647">
        <v>10187</v>
      </c>
      <c r="H40" s="646">
        <v>4289</v>
      </c>
      <c r="I40" s="648">
        <v>43316</v>
      </c>
      <c r="J40" s="647">
        <v>1659</v>
      </c>
      <c r="K40" s="646">
        <f t="shared" si="4"/>
        <v>59451</v>
      </c>
      <c r="L40" s="647">
        <v>13372</v>
      </c>
      <c r="M40" s="646">
        <v>666</v>
      </c>
      <c r="N40" s="647">
        <v>2743</v>
      </c>
      <c r="O40" s="647">
        <v>3397</v>
      </c>
      <c r="P40" s="646">
        <f t="shared" si="5"/>
        <v>20178</v>
      </c>
      <c r="Q40" s="647">
        <v>6170</v>
      </c>
      <c r="R40" s="1274">
        <v>113463</v>
      </c>
    </row>
    <row r="41" spans="1:18" ht="18" customHeight="1">
      <c r="A41" s="1272">
        <v>15</v>
      </c>
      <c r="B41" s="650" t="s">
        <v>486</v>
      </c>
      <c r="C41" s="649">
        <v>5570</v>
      </c>
      <c r="D41" s="649">
        <v>11057</v>
      </c>
      <c r="E41" s="649">
        <v>14100</v>
      </c>
      <c r="F41" s="646">
        <f t="shared" si="3"/>
        <v>30727</v>
      </c>
      <c r="G41" s="647">
        <v>9298</v>
      </c>
      <c r="H41" s="646">
        <v>5201</v>
      </c>
      <c r="I41" s="648">
        <v>45903</v>
      </c>
      <c r="J41" s="647">
        <v>1546</v>
      </c>
      <c r="K41" s="646">
        <f t="shared" si="4"/>
        <v>61948</v>
      </c>
      <c r="L41" s="647">
        <v>14970</v>
      </c>
      <c r="M41" s="646">
        <v>646</v>
      </c>
      <c r="N41" s="647">
        <v>3162</v>
      </c>
      <c r="O41" s="647">
        <v>3349</v>
      </c>
      <c r="P41" s="646">
        <f t="shared" si="5"/>
        <v>22127</v>
      </c>
      <c r="Q41" s="647">
        <v>3777</v>
      </c>
      <c r="R41" s="1274">
        <v>118579</v>
      </c>
    </row>
    <row r="42" spans="1:18" ht="18" customHeight="1">
      <c r="A42" s="1272">
        <v>16</v>
      </c>
      <c r="B42" s="650" t="s">
        <v>485</v>
      </c>
      <c r="C42" s="649">
        <v>7710</v>
      </c>
      <c r="D42" s="649">
        <v>10502</v>
      </c>
      <c r="E42" s="649">
        <v>16087</v>
      </c>
      <c r="F42" s="646">
        <f t="shared" si="3"/>
        <v>34299</v>
      </c>
      <c r="G42" s="647">
        <v>9242</v>
      </c>
      <c r="H42" s="646">
        <v>6196</v>
      </c>
      <c r="I42" s="648">
        <v>47586</v>
      </c>
      <c r="J42" s="647">
        <v>923</v>
      </c>
      <c r="K42" s="646">
        <f t="shared" si="4"/>
        <v>63947</v>
      </c>
      <c r="L42" s="647">
        <v>14305</v>
      </c>
      <c r="M42" s="646">
        <v>677</v>
      </c>
      <c r="N42" s="647">
        <v>3182</v>
      </c>
      <c r="O42" s="647">
        <v>3576</v>
      </c>
      <c r="P42" s="646">
        <f t="shared" si="5"/>
        <v>21740</v>
      </c>
      <c r="Q42" s="647">
        <v>4419</v>
      </c>
      <c r="R42" s="1274">
        <v>124405</v>
      </c>
    </row>
    <row r="43" spans="1:18" ht="18" customHeight="1">
      <c r="A43" s="1272">
        <v>17</v>
      </c>
      <c r="B43" s="650" t="s">
        <v>484</v>
      </c>
      <c r="C43" s="649">
        <v>8408</v>
      </c>
      <c r="D43" s="649">
        <v>12539</v>
      </c>
      <c r="E43" s="649">
        <v>18145</v>
      </c>
      <c r="F43" s="646">
        <f t="shared" si="3"/>
        <v>39092</v>
      </c>
      <c r="G43" s="647">
        <v>8634</v>
      </c>
      <c r="H43" s="646">
        <v>7805</v>
      </c>
      <c r="I43" s="648">
        <v>53476</v>
      </c>
      <c r="J43" s="647">
        <v>803</v>
      </c>
      <c r="K43" s="646">
        <f t="shared" si="4"/>
        <v>70718</v>
      </c>
      <c r="L43" s="647">
        <v>15697</v>
      </c>
      <c r="M43" s="646">
        <v>825</v>
      </c>
      <c r="N43" s="647">
        <v>3779</v>
      </c>
      <c r="O43" s="647">
        <v>3891</v>
      </c>
      <c r="P43" s="646">
        <f t="shared" si="5"/>
        <v>24192</v>
      </c>
      <c r="Q43" s="647">
        <v>5746</v>
      </c>
      <c r="R43" s="1274">
        <v>139748</v>
      </c>
    </row>
    <row r="44" spans="1:18" ht="18" customHeight="1">
      <c r="A44" s="1272">
        <v>18</v>
      </c>
      <c r="B44" s="650" t="s">
        <v>483</v>
      </c>
      <c r="C44" s="649">
        <v>8792</v>
      </c>
      <c r="D44" s="649">
        <v>14167</v>
      </c>
      <c r="E44" s="649">
        <v>17964</v>
      </c>
      <c r="F44" s="646">
        <f t="shared" si="3"/>
        <v>40923</v>
      </c>
      <c r="G44" s="647">
        <v>7970</v>
      </c>
      <c r="H44" s="646">
        <v>9107</v>
      </c>
      <c r="I44" s="648">
        <v>58376</v>
      </c>
      <c r="J44" s="647">
        <v>671</v>
      </c>
      <c r="K44" s="646">
        <f t="shared" si="4"/>
        <v>76124</v>
      </c>
      <c r="L44" s="647">
        <v>15805</v>
      </c>
      <c r="M44" s="646">
        <v>881</v>
      </c>
      <c r="N44" s="647">
        <v>4129</v>
      </c>
      <c r="O44" s="647">
        <v>4507</v>
      </c>
      <c r="P44" s="646">
        <f t="shared" si="5"/>
        <v>25322</v>
      </c>
      <c r="Q44" s="647">
        <v>7103</v>
      </c>
      <c r="R44" s="1274">
        <v>149472</v>
      </c>
    </row>
    <row r="45" spans="1:18" ht="18" customHeight="1">
      <c r="A45" s="1272">
        <v>19</v>
      </c>
      <c r="B45" s="650" t="s">
        <v>482</v>
      </c>
      <c r="C45" s="649">
        <v>9158</v>
      </c>
      <c r="D45" s="649">
        <v>16020</v>
      </c>
      <c r="E45" s="649">
        <v>16452</v>
      </c>
      <c r="F45" s="646">
        <f t="shared" si="3"/>
        <v>41630</v>
      </c>
      <c r="G45" s="647">
        <v>8391</v>
      </c>
      <c r="H45" s="646">
        <v>8071</v>
      </c>
      <c r="I45" s="648">
        <v>62905</v>
      </c>
      <c r="J45" s="647">
        <v>606</v>
      </c>
      <c r="K45" s="646">
        <f t="shared" si="4"/>
        <v>79973</v>
      </c>
      <c r="L45" s="647">
        <v>17684</v>
      </c>
      <c r="M45" s="646">
        <v>874</v>
      </c>
      <c r="N45" s="647">
        <v>4241</v>
      </c>
      <c r="O45" s="647">
        <v>4713</v>
      </c>
      <c r="P45" s="646">
        <f t="shared" si="5"/>
        <v>27512</v>
      </c>
      <c r="Q45" s="647">
        <v>6033</v>
      </c>
      <c r="R45" s="1274">
        <v>155148</v>
      </c>
    </row>
    <row r="46" spans="1:18" ht="18" customHeight="1">
      <c r="A46" s="1272">
        <v>20</v>
      </c>
      <c r="B46" s="650" t="s">
        <v>497</v>
      </c>
      <c r="C46" s="649">
        <v>10334</v>
      </c>
      <c r="D46" s="649">
        <v>22537</v>
      </c>
      <c r="E46" s="649">
        <v>18788</v>
      </c>
      <c r="F46" s="646">
        <f t="shared" si="3"/>
        <v>51659</v>
      </c>
      <c r="G46" s="647">
        <v>8703</v>
      </c>
      <c r="H46" s="646">
        <v>9304</v>
      </c>
      <c r="I46" s="648">
        <v>73298</v>
      </c>
      <c r="J46" s="647">
        <v>472</v>
      </c>
      <c r="K46" s="646">
        <f t="shared" si="4"/>
        <v>91777</v>
      </c>
      <c r="L46" s="647">
        <v>18346</v>
      </c>
      <c r="M46" s="646">
        <v>950</v>
      </c>
      <c r="N46" s="647">
        <v>3709</v>
      </c>
      <c r="O46" s="647">
        <v>4889</v>
      </c>
      <c r="P46" s="646">
        <f t="shared" si="5"/>
        <v>27894</v>
      </c>
      <c r="Q46" s="647">
        <v>13279</v>
      </c>
      <c r="R46" s="1274">
        <v>184610</v>
      </c>
    </row>
    <row r="47" spans="1:18" ht="18" customHeight="1">
      <c r="A47" s="1272">
        <v>21</v>
      </c>
      <c r="B47" s="650" t="s">
        <v>1</v>
      </c>
      <c r="C47" s="650">
        <v>9708</v>
      </c>
      <c r="D47" s="649">
        <v>26138</v>
      </c>
      <c r="E47" s="649">
        <v>19196</v>
      </c>
      <c r="F47" s="646">
        <f t="shared" si="3"/>
        <v>55042</v>
      </c>
      <c r="G47" s="647">
        <v>7809</v>
      </c>
      <c r="H47" s="646">
        <v>9589</v>
      </c>
      <c r="I47" s="648">
        <v>78057</v>
      </c>
      <c r="J47" s="647">
        <v>590</v>
      </c>
      <c r="K47" s="646">
        <f t="shared" si="4"/>
        <v>96045</v>
      </c>
      <c r="L47" s="647">
        <v>20519</v>
      </c>
      <c r="M47" s="646">
        <v>884</v>
      </c>
      <c r="N47" s="647">
        <v>2711</v>
      </c>
      <c r="O47" s="647">
        <v>4478</v>
      </c>
      <c r="P47" s="646">
        <f t="shared" si="5"/>
        <v>28592</v>
      </c>
      <c r="Q47" s="647">
        <v>15142</v>
      </c>
      <c r="R47" s="1274">
        <v>194821</v>
      </c>
    </row>
    <row r="48" spans="1:18" ht="18" customHeight="1">
      <c r="A48" s="1272">
        <v>22</v>
      </c>
      <c r="B48" s="650" t="s">
        <v>2</v>
      </c>
      <c r="C48" s="650">
        <v>9547</v>
      </c>
      <c r="D48" s="649">
        <v>27186</v>
      </c>
      <c r="E48" s="649">
        <v>18825</v>
      </c>
      <c r="F48" s="646">
        <f t="shared" si="3"/>
        <v>55558</v>
      </c>
      <c r="G48" s="647">
        <v>7861</v>
      </c>
      <c r="H48" s="646">
        <v>10065</v>
      </c>
      <c r="I48" s="648">
        <v>82880</v>
      </c>
      <c r="J48" s="647">
        <v>502</v>
      </c>
      <c r="K48" s="646">
        <f t="shared" si="4"/>
        <v>101308</v>
      </c>
      <c r="L48" s="647">
        <v>18433</v>
      </c>
      <c r="M48" s="646">
        <v>1028</v>
      </c>
      <c r="N48" s="647">
        <v>7837</v>
      </c>
      <c r="O48" s="647">
        <v>4610</v>
      </c>
      <c r="P48" s="646">
        <f t="shared" si="5"/>
        <v>31908</v>
      </c>
      <c r="Q48" s="647">
        <v>14429</v>
      </c>
      <c r="R48" s="1274">
        <v>203202</v>
      </c>
    </row>
    <row r="49" spans="1:18" ht="18" customHeight="1">
      <c r="A49" s="1272">
        <v>23</v>
      </c>
      <c r="B49" s="650" t="s">
        <v>3</v>
      </c>
      <c r="C49" s="650">
        <v>9825</v>
      </c>
      <c r="D49" s="649">
        <v>30118</v>
      </c>
      <c r="E49" s="649">
        <v>19018</v>
      </c>
      <c r="F49" s="646">
        <f t="shared" si="3"/>
        <v>58961</v>
      </c>
      <c r="G49" s="647">
        <v>7971</v>
      </c>
      <c r="H49" s="646">
        <v>10088</v>
      </c>
      <c r="I49" s="648">
        <v>91103</v>
      </c>
      <c r="J49" s="647">
        <v>400</v>
      </c>
      <c r="K49" s="646">
        <f t="shared" si="4"/>
        <v>109562</v>
      </c>
      <c r="L49" s="647">
        <v>15054</v>
      </c>
      <c r="M49" s="646">
        <v>896</v>
      </c>
      <c r="N49" s="647">
        <v>10943</v>
      </c>
      <c r="O49" s="647">
        <v>4670</v>
      </c>
      <c r="P49" s="646">
        <f t="shared" si="5"/>
        <v>31563</v>
      </c>
      <c r="Q49" s="641">
        <v>17650</v>
      </c>
      <c r="R49" s="1275">
        <v>217736.48300000001</v>
      </c>
    </row>
    <row r="50" spans="1:18" ht="18" customHeight="1">
      <c r="A50" s="1272">
        <v>24</v>
      </c>
      <c r="B50" s="640" t="s">
        <v>13</v>
      </c>
      <c r="C50" s="645">
        <v>10030.460999999999</v>
      </c>
      <c r="D50" s="639">
        <v>30275.245999999999</v>
      </c>
      <c r="E50" s="639">
        <v>18505.306</v>
      </c>
      <c r="F50" s="638">
        <f t="shared" si="3"/>
        <v>58811.012999999992</v>
      </c>
      <c r="G50" s="642">
        <v>11219.522999999999</v>
      </c>
      <c r="H50" s="638">
        <v>7418.2599999999993</v>
      </c>
      <c r="I50" s="643">
        <v>93758.554000000004</v>
      </c>
      <c r="J50" s="642">
        <v>422.89299999999997</v>
      </c>
      <c r="K50" s="638">
        <f t="shared" si="4"/>
        <v>112819.23</v>
      </c>
      <c r="L50" s="642">
        <v>13405.396999999999</v>
      </c>
      <c r="M50" s="638">
        <v>940.92600000000004</v>
      </c>
      <c r="N50" s="642">
        <v>12067.837</v>
      </c>
      <c r="O50" s="642">
        <v>4785.2299999999996</v>
      </c>
      <c r="P50" s="638">
        <f t="shared" si="5"/>
        <v>31199.389999999996</v>
      </c>
      <c r="Q50" s="641">
        <f t="shared" ref="Q50:Q55" si="6">R50-F50-K50-P50</f>
        <v>17926.698000000037</v>
      </c>
      <c r="R50" s="1275">
        <v>220756.33100000001</v>
      </c>
    </row>
    <row r="51" spans="1:18" ht="18" customHeight="1">
      <c r="A51" s="1272">
        <v>25</v>
      </c>
      <c r="B51" s="640" t="s">
        <v>41</v>
      </c>
      <c r="C51" s="644">
        <v>9839.8739999999998</v>
      </c>
      <c r="D51" s="639">
        <v>32325.379000000001</v>
      </c>
      <c r="E51" s="639">
        <v>17390.539000000001</v>
      </c>
      <c r="F51" s="638">
        <f t="shared" si="3"/>
        <v>59555.792000000001</v>
      </c>
      <c r="G51" s="642">
        <v>11103.161</v>
      </c>
      <c r="H51" s="638">
        <v>7558.6949999999997</v>
      </c>
      <c r="I51" s="643">
        <v>94427.59</v>
      </c>
      <c r="J51" s="642">
        <v>357.87</v>
      </c>
      <c r="K51" s="638">
        <f t="shared" si="4"/>
        <v>113447.31599999999</v>
      </c>
      <c r="L51" s="642">
        <v>11919.33</v>
      </c>
      <c r="M51" s="638">
        <v>945.59</v>
      </c>
      <c r="N51" s="642">
        <v>12447.885</v>
      </c>
      <c r="O51" s="642">
        <v>4632.0529999999999</v>
      </c>
      <c r="P51" s="638">
        <f t="shared" si="5"/>
        <v>29944.858</v>
      </c>
      <c r="Q51" s="641">
        <f t="shared" si="6"/>
        <v>18187.565999999999</v>
      </c>
      <c r="R51" s="1275">
        <v>221135.53200000001</v>
      </c>
    </row>
    <row r="52" spans="1:18" ht="18" customHeight="1">
      <c r="A52" s="1272">
        <v>26</v>
      </c>
      <c r="B52" s="640" t="s">
        <v>1267</v>
      </c>
      <c r="C52" s="639">
        <v>10567.958000000001</v>
      </c>
      <c r="D52" s="639">
        <v>35321.118000000002</v>
      </c>
      <c r="E52" s="639">
        <v>17860.611000000001</v>
      </c>
      <c r="F52" s="638">
        <f t="shared" si="3"/>
        <v>63749.687000000005</v>
      </c>
      <c r="G52" s="642">
        <v>11788.736999999999</v>
      </c>
      <c r="H52" s="638">
        <v>7502.99</v>
      </c>
      <c r="I52" s="643">
        <v>98587.811000000002</v>
      </c>
      <c r="J52" s="642">
        <v>428.786</v>
      </c>
      <c r="K52" s="638">
        <f t="shared" si="4"/>
        <v>118308.32399999999</v>
      </c>
      <c r="L52" s="642">
        <v>9727.4110000000001</v>
      </c>
      <c r="M52" s="642">
        <v>1036.856</v>
      </c>
      <c r="N52" s="642">
        <v>13321.928</v>
      </c>
      <c r="O52" s="642">
        <v>5157.2749999999996</v>
      </c>
      <c r="P52" s="638">
        <f t="shared" si="5"/>
        <v>29243.47</v>
      </c>
      <c r="Q52" s="641">
        <f t="shared" si="6"/>
        <v>20621.80799999999</v>
      </c>
      <c r="R52" s="1275">
        <v>231923.28899999999</v>
      </c>
    </row>
    <row r="53" spans="1:18" ht="18" customHeight="1">
      <c r="A53" s="1272">
        <v>27</v>
      </c>
      <c r="B53" s="640" t="s">
        <v>129</v>
      </c>
      <c r="C53" s="639">
        <v>11325.802</v>
      </c>
      <c r="D53" s="639">
        <v>36593.313999999998</v>
      </c>
      <c r="E53" s="639">
        <v>19945.951000000001</v>
      </c>
      <c r="F53" s="638">
        <f t="shared" si="3"/>
        <v>67865.066999999995</v>
      </c>
      <c r="G53" s="642">
        <v>13830.959000000001</v>
      </c>
      <c r="H53" s="638">
        <v>6040.8670000000002</v>
      </c>
      <c r="I53" s="643">
        <v>102484.105</v>
      </c>
      <c r="J53" s="642">
        <v>628.96400000000006</v>
      </c>
      <c r="K53" s="638">
        <f t="shared" si="4"/>
        <v>122984.895</v>
      </c>
      <c r="L53" s="642">
        <v>9961.9259999999995</v>
      </c>
      <c r="M53" s="642">
        <v>1028.7760000000001</v>
      </c>
      <c r="N53" s="642">
        <v>13935.638000000001</v>
      </c>
      <c r="O53" s="642">
        <v>5185.3810000000003</v>
      </c>
      <c r="P53" s="638">
        <f t="shared" si="5"/>
        <v>30111.721000000001</v>
      </c>
      <c r="Q53" s="641">
        <f t="shared" si="6"/>
        <v>22589.13800000001</v>
      </c>
      <c r="R53" s="1275">
        <v>243550.821</v>
      </c>
    </row>
    <row r="54" spans="1:18" ht="18" customHeight="1">
      <c r="A54" s="1272">
        <v>28</v>
      </c>
      <c r="B54" s="640" t="s">
        <v>142</v>
      </c>
      <c r="C54" s="639">
        <v>12380.18181</v>
      </c>
      <c r="D54" s="639">
        <v>37783.917000000001</v>
      </c>
      <c r="E54" s="639">
        <v>20005.728638000004</v>
      </c>
      <c r="F54" s="638">
        <f t="shared" si="3"/>
        <v>70169.827448000011</v>
      </c>
      <c r="G54" s="642">
        <v>14594.44</v>
      </c>
      <c r="H54" s="638">
        <v>4407.8900700000004</v>
      </c>
      <c r="I54" s="643">
        <v>107903.77368</v>
      </c>
      <c r="J54" s="642">
        <v>561.70000000000005</v>
      </c>
      <c r="K54" s="638">
        <f t="shared" si="4"/>
        <v>127467.80374999999</v>
      </c>
      <c r="L54" s="642">
        <v>9486.4374700000008</v>
      </c>
      <c r="M54" s="642">
        <v>1035.817</v>
      </c>
      <c r="N54" s="642">
        <v>14753.651</v>
      </c>
      <c r="O54" s="642">
        <v>5276.616</v>
      </c>
      <c r="P54" s="638">
        <f t="shared" si="5"/>
        <v>30552.52147</v>
      </c>
      <c r="Q54" s="641">
        <f t="shared" si="6"/>
        <v>26214.585331999995</v>
      </c>
      <c r="R54" s="1275">
        <v>254404.73800000001</v>
      </c>
    </row>
    <row r="55" spans="1:18">
      <c r="A55" s="1276">
        <v>29</v>
      </c>
      <c r="B55" s="640" t="s">
        <v>276</v>
      </c>
      <c r="C55" s="639">
        <v>12786.385</v>
      </c>
      <c r="D55" s="639">
        <v>38039.339</v>
      </c>
      <c r="E55" s="639">
        <v>19785.876</v>
      </c>
      <c r="F55" s="638">
        <f t="shared" si="3"/>
        <v>70611.600000000006</v>
      </c>
      <c r="G55" s="642">
        <v>15478.732</v>
      </c>
      <c r="H55" s="638">
        <v>4071.5830000000001</v>
      </c>
      <c r="I55" s="643">
        <v>110534.95299999999</v>
      </c>
      <c r="J55" s="642">
        <v>701.51300000000003</v>
      </c>
      <c r="K55" s="638">
        <f t="shared" si="4"/>
        <v>130786.781</v>
      </c>
      <c r="L55" s="642">
        <v>10032.171</v>
      </c>
      <c r="M55" s="642">
        <v>948.96299999999997</v>
      </c>
      <c r="N55" s="642">
        <v>14676.22</v>
      </c>
      <c r="O55" s="642">
        <v>5802.924</v>
      </c>
      <c r="P55" s="638">
        <f t="shared" si="5"/>
        <v>31460.277999999998</v>
      </c>
      <c r="Q55" s="641">
        <f t="shared" si="6"/>
        <v>29502.609999999964</v>
      </c>
      <c r="R55" s="1275">
        <v>262361.26899999997</v>
      </c>
    </row>
    <row r="56" spans="1:18">
      <c r="A56" s="1276">
        <v>30</v>
      </c>
      <c r="B56" s="640" t="s">
        <v>522</v>
      </c>
      <c r="C56" s="639">
        <v>12823.300999999999</v>
      </c>
      <c r="D56" s="639">
        <v>38616.482000000004</v>
      </c>
      <c r="E56" s="639">
        <v>20678.657999999999</v>
      </c>
      <c r="F56" s="638">
        <v>72118.441000000006</v>
      </c>
      <c r="G56" s="642">
        <v>3210.6849999999999</v>
      </c>
      <c r="H56" s="638">
        <v>15238.005999999999</v>
      </c>
      <c r="I56" s="643">
        <v>111221.167</v>
      </c>
      <c r="J56" s="642">
        <v>620.27200000000005</v>
      </c>
      <c r="K56" s="638">
        <v>130290.13</v>
      </c>
      <c r="L56" s="642">
        <v>8608.9079999999994</v>
      </c>
      <c r="M56" s="642">
        <v>931.80100000000004</v>
      </c>
      <c r="N56" s="642">
        <v>15527.74</v>
      </c>
      <c r="O56" s="642">
        <v>5243.9539999999997</v>
      </c>
      <c r="P56" s="638">
        <v>30312.402999999998</v>
      </c>
      <c r="Q56" s="641">
        <v>30219.445999999989</v>
      </c>
      <c r="R56" s="1275">
        <v>262940.42</v>
      </c>
    </row>
    <row r="57" spans="1:18">
      <c r="A57" s="1276">
        <v>31</v>
      </c>
      <c r="B57" s="640" t="s">
        <v>652</v>
      </c>
      <c r="C57" s="639">
        <v>12072.1</v>
      </c>
      <c r="D57" s="639">
        <v>35778.525999999998</v>
      </c>
      <c r="E57" s="639">
        <v>19402.82</v>
      </c>
      <c r="F57" s="638">
        <f>SUM(C57:E57)</f>
        <v>67253.445999999996</v>
      </c>
      <c r="G57" s="638">
        <v>2393.2620000000002</v>
      </c>
      <c r="H57" s="638">
        <v>7092.1090000000004</v>
      </c>
      <c r="I57" s="638">
        <v>100441.416</v>
      </c>
      <c r="J57" s="638">
        <v>728.58100000000002</v>
      </c>
      <c r="K57" s="638">
        <f>SUM(G57:J57)</f>
        <v>110655.368</v>
      </c>
      <c r="L57" s="638">
        <v>7241.8409999999994</v>
      </c>
      <c r="M57" s="638">
        <v>1069.2940000000001</v>
      </c>
      <c r="N57" s="638">
        <v>12655.353999999999</v>
      </c>
      <c r="O57" s="638">
        <v>5245.1610000000001</v>
      </c>
      <c r="P57" s="638">
        <f>SUM(L57:O57)</f>
        <v>26211.65</v>
      </c>
      <c r="Q57" s="638">
        <f>R57-F57-K57-P57</f>
        <v>29392.606999999996</v>
      </c>
      <c r="R57" s="1277">
        <v>233513.071</v>
      </c>
    </row>
    <row r="58" spans="1:18">
      <c r="A58" s="1276">
        <v>32</v>
      </c>
      <c r="B58" s="640" t="s">
        <v>1266</v>
      </c>
      <c r="C58" s="639">
        <v>12072.1</v>
      </c>
      <c r="D58" s="639">
        <v>35778.525999999998</v>
      </c>
      <c r="E58" s="639">
        <v>19402.82</v>
      </c>
      <c r="F58" s="638">
        <f>12238+40238+19994</f>
        <v>72470</v>
      </c>
      <c r="G58" s="638">
        <v>2393.2620000000002</v>
      </c>
      <c r="H58" s="638">
        <v>7092.1090000000004</v>
      </c>
      <c r="I58" s="638">
        <v>100441.416</v>
      </c>
      <c r="J58" s="638">
        <v>728.58100000000002</v>
      </c>
      <c r="K58" s="638">
        <f>10294+1916+107175+805</f>
        <v>120190</v>
      </c>
      <c r="L58" s="638">
        <v>7241.8409999999994</v>
      </c>
      <c r="M58" s="638">
        <v>1069.2940000000001</v>
      </c>
      <c r="N58" s="638">
        <v>12655.353999999999</v>
      </c>
      <c r="O58" s="638">
        <v>5245.1610000000001</v>
      </c>
      <c r="P58" s="638">
        <f>7587+741+1173+5111+15508</f>
        <v>30120</v>
      </c>
      <c r="Q58" s="638">
        <f>R58-F58-K58-P58</f>
        <v>31525</v>
      </c>
      <c r="R58" s="1277">
        <v>254305</v>
      </c>
    </row>
    <row r="59" spans="1:18" ht="7.5" customHeight="1">
      <c r="A59" s="1278"/>
      <c r="B59" s="1279"/>
      <c r="C59" s="632"/>
      <c r="D59" s="632"/>
      <c r="E59" s="632"/>
      <c r="F59" s="1280"/>
      <c r="G59" s="632"/>
      <c r="H59" s="1280"/>
      <c r="I59" s="1281"/>
      <c r="J59" s="632"/>
      <c r="K59" s="1280"/>
      <c r="P59" s="1280"/>
      <c r="Q59" s="1282"/>
      <c r="R59" s="1283"/>
    </row>
    <row r="60" spans="1:18" s="637" customFormat="1" ht="17.25" customHeight="1">
      <c r="A60" s="1284" t="s">
        <v>1265</v>
      </c>
      <c r="B60" s="1285"/>
      <c r="F60" s="1286"/>
      <c r="H60" s="1286"/>
      <c r="I60" s="1287"/>
      <c r="K60" s="1286"/>
      <c r="R60" s="1288"/>
    </row>
    <row r="61" spans="1:18" s="637" customFormat="1" ht="17.25" customHeight="1">
      <c r="A61" s="1289" t="s">
        <v>1264</v>
      </c>
      <c r="B61" s="2082" t="s">
        <v>1263</v>
      </c>
      <c r="C61" s="2082"/>
      <c r="D61" s="2082"/>
      <c r="E61" s="2082"/>
      <c r="F61" s="2082"/>
      <c r="G61" s="2082"/>
      <c r="H61" s="2082"/>
      <c r="I61" s="2082"/>
      <c r="J61" s="2082"/>
      <c r="K61" s="2082"/>
      <c r="L61" s="2082"/>
      <c r="M61" s="2082"/>
      <c r="N61" s="2082"/>
      <c r="O61" s="2082"/>
      <c r="P61" s="2082"/>
      <c r="Q61" s="2082"/>
      <c r="R61" s="1288"/>
    </row>
    <row r="62" spans="1:18" s="637" customFormat="1" ht="20.25" customHeight="1">
      <c r="A62" s="2083" t="s">
        <v>1262</v>
      </c>
      <c r="B62" s="2082"/>
      <c r="C62" s="2082"/>
      <c r="D62" s="2082"/>
      <c r="E62" s="2082"/>
      <c r="F62" s="2082"/>
      <c r="G62" s="2082"/>
      <c r="H62" s="2082"/>
      <c r="I62" s="2082"/>
      <c r="J62" s="2082"/>
      <c r="K62" s="2082"/>
      <c r="L62" s="2082"/>
      <c r="M62" s="2082"/>
      <c r="N62" s="2082"/>
      <c r="O62" s="2082"/>
      <c r="P62" s="2082"/>
      <c r="Q62" s="2082"/>
      <c r="R62" s="2084"/>
    </row>
    <row r="63" spans="1:18" s="637" customFormat="1" ht="17.25" customHeight="1">
      <c r="A63" s="2083" t="s">
        <v>1261</v>
      </c>
      <c r="B63" s="2082"/>
      <c r="C63" s="2082"/>
      <c r="D63" s="2082"/>
      <c r="E63" s="2082"/>
      <c r="F63" s="2082"/>
      <c r="G63" s="2082"/>
      <c r="H63" s="2082"/>
      <c r="I63" s="2082"/>
      <c r="J63" s="2082"/>
      <c r="K63" s="2082"/>
      <c r="L63" s="2082"/>
      <c r="M63" s="2082"/>
      <c r="N63" s="2082"/>
      <c r="O63" s="2082"/>
      <c r="P63" s="2082"/>
      <c r="Q63" s="2082"/>
      <c r="R63" s="2084"/>
    </row>
    <row r="64" spans="1:18" s="637" customFormat="1" ht="17.25" customHeight="1">
      <c r="A64" s="1284" t="s">
        <v>1260</v>
      </c>
      <c r="Q64" s="637" t="s">
        <v>1259</v>
      </c>
      <c r="R64" s="1288"/>
    </row>
    <row r="65" spans="1:18" ht="15.75" thickBot="1">
      <c r="A65" s="2085" t="s">
        <v>1258</v>
      </c>
      <c r="B65" s="2086"/>
      <c r="C65" s="2086"/>
      <c r="D65" s="2086"/>
      <c r="E65" s="2086"/>
      <c r="F65" s="2086"/>
      <c r="G65" s="2086"/>
      <c r="H65" s="2086"/>
      <c r="I65" s="2086"/>
      <c r="J65" s="2086"/>
      <c r="K65" s="2086"/>
      <c r="L65" s="2086"/>
      <c r="M65" s="2086"/>
      <c r="N65" s="2086"/>
      <c r="O65" s="2086"/>
      <c r="P65" s="2086"/>
      <c r="Q65" s="2086"/>
      <c r="R65" s="2087"/>
    </row>
    <row r="66" spans="1:18" s="635" customFormat="1" ht="20.100000000000001" customHeight="1" thickTop="1">
      <c r="A66" s="636"/>
    </row>
    <row r="67" spans="1:18" s="635" customFormat="1" ht="20.100000000000001" customHeight="1">
      <c r="A67" s="636"/>
    </row>
    <row r="68" spans="1:18" s="635" customFormat="1" ht="20.100000000000001" customHeight="1">
      <c r="A68" s="636"/>
    </row>
    <row r="69" spans="1:18" s="635" customFormat="1" ht="20.100000000000001" customHeight="1">
      <c r="A69" s="636"/>
    </row>
    <row r="70" spans="1:18" s="635" customFormat="1" ht="20.100000000000001" customHeight="1">
      <c r="A70" s="636"/>
    </row>
    <row r="71" spans="1:18" s="635" customFormat="1" ht="20.100000000000001" customHeight="1">
      <c r="A71" s="636"/>
    </row>
    <row r="72" spans="1:18" s="635" customFormat="1" ht="18" customHeight="1">
      <c r="A72" s="636"/>
    </row>
  </sheetData>
  <mergeCells count="11">
    <mergeCell ref="B61:Q61"/>
    <mergeCell ref="A62:R62"/>
    <mergeCell ref="A63:R63"/>
    <mergeCell ref="A65:R65"/>
    <mergeCell ref="A1:R1"/>
    <mergeCell ref="A2:R2"/>
    <mergeCell ref="A3:J3"/>
    <mergeCell ref="Q3:R3"/>
    <mergeCell ref="C4:F4"/>
    <mergeCell ref="G4:J4"/>
    <mergeCell ref="L4:O4"/>
  </mergeCells>
  <conditionalFormatting sqref="A66:A72 S27:XFD54 S66:XFD71 A27:R58">
    <cfRule type="expression" dxfId="89" priority="1">
      <formula>MOD(ROW(),3)=1</formula>
    </cfRule>
  </conditionalFormatting>
  <printOptions horizontalCentered="1" verticalCentered="1"/>
  <pageMargins left="0.35433070866141736" right="0.70866141732283472" top="0.51181102362204722" bottom="0.19685039370078741" header="0.31496062992125984" footer="0.31496062992125984"/>
  <pageSetup paperSize="9" scale="97" orientation="portrait" r:id="rId1"/>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83183-F0CB-411E-A122-ECCD928ABE4B}">
  <dimension ref="A1:O21"/>
  <sheetViews>
    <sheetView view="pageBreakPreview" zoomScale="90" zoomScaleNormal="100" zoomScaleSheetLayoutView="90" workbookViewId="0">
      <selection activeCell="S17" sqref="S17"/>
    </sheetView>
  </sheetViews>
  <sheetFormatPr defaultColWidth="9" defaultRowHeight="15"/>
  <cols>
    <col min="1" max="1" width="6.28515625" style="661" customWidth="1"/>
    <col min="2" max="2" width="10.5703125" style="635" customWidth="1"/>
    <col min="3" max="3" width="10.85546875" style="635" customWidth="1"/>
    <col min="4" max="4" width="11" style="635" customWidth="1"/>
    <col min="5" max="5" width="10" style="635" customWidth="1"/>
    <col min="6" max="6" width="11.42578125" style="635" customWidth="1"/>
    <col min="7" max="7" width="9" style="635"/>
    <col min="8" max="8" width="10.28515625" style="635" customWidth="1"/>
    <col min="9" max="9" width="9" style="635"/>
    <col min="10" max="10" width="9.28515625" style="635" customWidth="1"/>
    <col min="11" max="11" width="8.85546875" style="635" customWidth="1"/>
    <col min="12" max="13" width="9" style="635"/>
    <col min="14" max="14" width="9.28515625" style="635" customWidth="1"/>
    <col min="15" max="16384" width="9" style="635"/>
  </cols>
  <sheetData>
    <row r="1" spans="1:15" ht="16.5" thickTop="1">
      <c r="A1" s="2102" t="s">
        <v>2579</v>
      </c>
      <c r="B1" s="2103"/>
      <c r="C1" s="2103"/>
      <c r="D1" s="2103"/>
      <c r="E1" s="2103"/>
      <c r="F1" s="2103"/>
      <c r="G1" s="2103"/>
      <c r="H1" s="2103"/>
      <c r="I1" s="2103"/>
      <c r="J1" s="2103"/>
      <c r="K1" s="2103"/>
      <c r="L1" s="2103"/>
      <c r="M1" s="2103"/>
      <c r="N1" s="2103"/>
      <c r="O1" s="2104"/>
    </row>
    <row r="2" spans="1:15" ht="15.75">
      <c r="A2" s="2105" t="s">
        <v>2580</v>
      </c>
      <c r="B2" s="2106"/>
      <c r="C2" s="2106"/>
      <c r="D2" s="2106"/>
      <c r="E2" s="2106"/>
      <c r="F2" s="2106"/>
      <c r="G2" s="2106"/>
      <c r="H2" s="2106"/>
      <c r="I2" s="2106"/>
      <c r="J2" s="2106"/>
      <c r="K2" s="2106"/>
      <c r="L2" s="2106"/>
      <c r="M2" s="2106"/>
      <c r="N2" s="2106"/>
      <c r="O2" s="2107"/>
    </row>
    <row r="3" spans="1:15">
      <c r="A3" s="2108" t="s">
        <v>1325</v>
      </c>
      <c r="B3" s="2109"/>
      <c r="C3" s="2109"/>
      <c r="D3" s="2109"/>
      <c r="E3" s="2109"/>
      <c r="F3" s="2109"/>
      <c r="G3" s="2109"/>
      <c r="H3" s="2109"/>
      <c r="I3" s="2109"/>
      <c r="J3" s="2109"/>
      <c r="K3" s="2109"/>
      <c r="L3" s="2109"/>
      <c r="M3" s="2109"/>
      <c r="N3" s="2109"/>
      <c r="O3" s="2110"/>
    </row>
    <row r="4" spans="1:15" ht="33.75" customHeight="1">
      <c r="A4" s="2111" t="s">
        <v>686</v>
      </c>
      <c r="B4" s="2112" t="s">
        <v>1324</v>
      </c>
      <c r="C4" s="2112" t="s">
        <v>1323</v>
      </c>
      <c r="D4" s="2112"/>
      <c r="E4" s="2112"/>
      <c r="F4" s="2112"/>
      <c r="G4" s="2112"/>
      <c r="H4" s="2112"/>
      <c r="I4" s="2112"/>
      <c r="J4" s="2112"/>
      <c r="K4" s="2112" t="s">
        <v>1322</v>
      </c>
      <c r="L4" s="2112"/>
      <c r="M4" s="2112"/>
      <c r="N4" s="2112"/>
      <c r="O4" s="2113" t="s">
        <v>1321</v>
      </c>
    </row>
    <row r="5" spans="1:15" ht="111" customHeight="1">
      <c r="A5" s="2111"/>
      <c r="B5" s="2112"/>
      <c r="C5" s="1547" t="s">
        <v>1320</v>
      </c>
      <c r="D5" s="666" t="s">
        <v>1319</v>
      </c>
      <c r="E5" s="1547" t="s">
        <v>1318</v>
      </c>
      <c r="F5" s="1547" t="s">
        <v>1317</v>
      </c>
      <c r="G5" s="1547" t="s">
        <v>1316</v>
      </c>
      <c r="H5" s="1547" t="s">
        <v>1315</v>
      </c>
      <c r="I5" s="1547" t="s">
        <v>1314</v>
      </c>
      <c r="J5" s="1547" t="s">
        <v>721</v>
      </c>
      <c r="K5" s="1547" t="s">
        <v>1313</v>
      </c>
      <c r="L5" s="1547" t="s">
        <v>1312</v>
      </c>
      <c r="M5" s="1547" t="s">
        <v>1311</v>
      </c>
      <c r="N5" s="1547" t="s">
        <v>704</v>
      </c>
      <c r="O5" s="2113"/>
    </row>
    <row r="6" spans="1:15" ht="23.25" customHeight="1">
      <c r="A6" s="1276">
        <v>1</v>
      </c>
      <c r="B6" s="665" t="s">
        <v>2</v>
      </c>
      <c r="C6" s="662">
        <v>22628.46</v>
      </c>
      <c r="D6" s="662">
        <v>283.75</v>
      </c>
      <c r="E6" s="662">
        <v>175.28</v>
      </c>
      <c r="F6" s="662">
        <v>5598.79</v>
      </c>
      <c r="G6" s="662">
        <v>4256.87</v>
      </c>
      <c r="H6" s="662">
        <v>1068.3699999999999</v>
      </c>
      <c r="I6" s="662">
        <f>30+0+385+9064</f>
        <v>9479</v>
      </c>
      <c r="J6" s="662">
        <f>SUM(C6:I6)</f>
        <v>43490.520000000004</v>
      </c>
      <c r="K6" s="662">
        <v>14003.32</v>
      </c>
      <c r="L6" s="662">
        <v>1333.26</v>
      </c>
      <c r="M6" s="662">
        <v>1857.69</v>
      </c>
      <c r="N6" s="662">
        <f t="shared" ref="N6:N16" si="0">SUM(K6:M6)</f>
        <v>17194.27</v>
      </c>
      <c r="O6" s="1292">
        <f>J6+N6</f>
        <v>60684.790000000008</v>
      </c>
    </row>
    <row r="7" spans="1:15" ht="23.25" customHeight="1">
      <c r="A7" s="1276">
        <v>2</v>
      </c>
      <c r="B7" s="665" t="s">
        <v>3</v>
      </c>
      <c r="C7" s="662">
        <v>16077.71</v>
      </c>
      <c r="D7" s="662">
        <v>269.39999999999998</v>
      </c>
      <c r="E7" s="662">
        <v>182.1</v>
      </c>
      <c r="F7" s="662">
        <v>5779.84</v>
      </c>
      <c r="G7" s="662">
        <v>3890.54</v>
      </c>
      <c r="H7" s="662">
        <v>1027.29</v>
      </c>
      <c r="I7" s="662">
        <f>0+0+387+7976</f>
        <v>8363</v>
      </c>
      <c r="J7" s="662">
        <f>SUM(C7:I7)-1</f>
        <v>35588.880000000005</v>
      </c>
      <c r="K7" s="662">
        <v>14733.29</v>
      </c>
      <c r="L7" s="662">
        <v>1105.74</v>
      </c>
      <c r="M7" s="662">
        <v>2485.96</v>
      </c>
      <c r="N7" s="662">
        <f t="shared" si="0"/>
        <v>18324.990000000002</v>
      </c>
      <c r="O7" s="1292">
        <f>J7+N7</f>
        <v>53913.87000000001</v>
      </c>
    </row>
    <row r="8" spans="1:15" ht="23.25" customHeight="1">
      <c r="A8" s="1276">
        <v>3</v>
      </c>
      <c r="B8" s="665" t="s">
        <v>13</v>
      </c>
      <c r="C8" s="662">
        <v>11283.618</v>
      </c>
      <c r="D8" s="662">
        <v>260.72399999999999</v>
      </c>
      <c r="E8" s="662">
        <v>195.71800000000002</v>
      </c>
      <c r="F8" s="662">
        <v>5904.085</v>
      </c>
      <c r="G8" s="662">
        <v>3968.4749999999999</v>
      </c>
      <c r="H8" s="662">
        <v>981.85</v>
      </c>
      <c r="I8" s="662">
        <f t="shared" ref="I8:I13" si="1">J8-SUM(C8:G8)</f>
        <v>7851.4320000000007</v>
      </c>
      <c r="J8" s="662">
        <v>29464.052</v>
      </c>
      <c r="K8" s="662">
        <v>15869.371999999996</v>
      </c>
      <c r="L8" s="662">
        <v>274.12399999999997</v>
      </c>
      <c r="M8" s="662">
        <v>2404.6639999999998</v>
      </c>
      <c r="N8" s="662">
        <f t="shared" si="0"/>
        <v>18548.159999999996</v>
      </c>
      <c r="O8" s="1292">
        <v>48994.061999999991</v>
      </c>
    </row>
    <row r="9" spans="1:15" ht="23.25" customHeight="1">
      <c r="A9" s="1276">
        <v>4</v>
      </c>
      <c r="B9" s="665" t="s">
        <v>41</v>
      </c>
      <c r="C9" s="662">
        <v>10719.803</v>
      </c>
      <c r="D9" s="662">
        <v>532.80499999999995</v>
      </c>
      <c r="E9" s="662">
        <v>180.482</v>
      </c>
      <c r="F9" s="662">
        <v>5415.5049999999992</v>
      </c>
      <c r="G9" s="662">
        <v>4575.2020000000002</v>
      </c>
      <c r="H9" s="662">
        <v>1005.4799999999999</v>
      </c>
      <c r="I9" s="662">
        <f t="shared" si="1"/>
        <v>6291.7979999999952</v>
      </c>
      <c r="J9" s="662">
        <v>27715.594999999998</v>
      </c>
      <c r="K9" s="662">
        <v>15190.300999999999</v>
      </c>
      <c r="L9" s="662">
        <v>153.59200000000001</v>
      </c>
      <c r="M9" s="662">
        <v>2889.6711000000005</v>
      </c>
      <c r="N9" s="662">
        <f t="shared" si="0"/>
        <v>18233.5641</v>
      </c>
      <c r="O9" s="1292">
        <v>46954.6391</v>
      </c>
    </row>
    <row r="10" spans="1:15" ht="23.25" customHeight="1">
      <c r="A10" s="1276">
        <v>5</v>
      </c>
      <c r="B10" s="665" t="s">
        <v>42</v>
      </c>
      <c r="C10" s="662">
        <v>10889.201500000001</v>
      </c>
      <c r="D10" s="662">
        <v>545.32330000000002</v>
      </c>
      <c r="E10" s="662">
        <v>187.05799999999999</v>
      </c>
      <c r="F10" s="662">
        <v>5463.8993000000009</v>
      </c>
      <c r="G10" s="662">
        <v>5076.5444000000007</v>
      </c>
      <c r="H10" s="662">
        <v>754.18740000000025</v>
      </c>
      <c r="I10" s="662">
        <f t="shared" si="1"/>
        <v>4521.2564000000057</v>
      </c>
      <c r="J10" s="662">
        <v>26683.282900000006</v>
      </c>
      <c r="K10" s="662">
        <v>16134.6065</v>
      </c>
      <c r="L10" s="662">
        <v>544.32400000000007</v>
      </c>
      <c r="M10" s="662">
        <v>3733.2828000000004</v>
      </c>
      <c r="N10" s="662">
        <f t="shared" si="0"/>
        <v>20412.213299999999</v>
      </c>
      <c r="O10" s="1292">
        <v>47849.683600000004</v>
      </c>
    </row>
    <row r="11" spans="1:15" ht="23.25" customHeight="1">
      <c r="A11" s="1276">
        <v>6</v>
      </c>
      <c r="B11" s="665" t="s">
        <v>129</v>
      </c>
      <c r="C11" s="662">
        <v>11616.255299131541</v>
      </c>
      <c r="D11" s="662">
        <v>793.65318070674812</v>
      </c>
      <c r="E11" s="664">
        <v>183.32499999999999</v>
      </c>
      <c r="F11" s="662">
        <v>7350.0014197566798</v>
      </c>
      <c r="G11" s="662">
        <v>5374.3675740769122</v>
      </c>
      <c r="H11" s="662">
        <v>759.45360433700012</v>
      </c>
      <c r="I11" s="662">
        <f t="shared" si="1"/>
        <v>4217.1399599049982</v>
      </c>
      <c r="J11" s="662">
        <v>29534.742433576881</v>
      </c>
      <c r="K11" s="662">
        <v>15428.566401901604</v>
      </c>
      <c r="L11" s="662">
        <v>885.04525731356273</v>
      </c>
      <c r="M11" s="662">
        <v>4170.0577540921349</v>
      </c>
      <c r="N11" s="662">
        <f t="shared" si="0"/>
        <v>20483.669413307303</v>
      </c>
      <c r="O11" s="1292">
        <v>50777.86545122118</v>
      </c>
    </row>
    <row r="12" spans="1:15" ht="23.25" customHeight="1">
      <c r="A12" s="1276">
        <v>7</v>
      </c>
      <c r="B12" s="665" t="s">
        <v>1310</v>
      </c>
      <c r="C12" s="662">
        <v>12028.28779022547</v>
      </c>
      <c r="D12" s="662">
        <v>999.26611345202264</v>
      </c>
      <c r="E12" s="664">
        <v>188.55566900000002</v>
      </c>
      <c r="F12" s="662">
        <v>8585.3662449038802</v>
      </c>
      <c r="G12" s="662">
        <v>6533.1301352839419</v>
      </c>
      <c r="H12" s="662">
        <v>797.87206149107965</v>
      </c>
      <c r="I12" s="662">
        <f t="shared" si="1"/>
        <v>3722.1072524397314</v>
      </c>
      <c r="J12" s="662">
        <v>32056.713205305045</v>
      </c>
      <c r="K12" s="662">
        <v>14675.673891848401</v>
      </c>
      <c r="L12" s="662">
        <v>1278.0026398059949</v>
      </c>
      <c r="M12" s="662">
        <v>4024.1336347954166</v>
      </c>
      <c r="N12" s="662">
        <f t="shared" si="0"/>
        <v>19977.81016644981</v>
      </c>
      <c r="O12" s="1292">
        <v>52832.39543324594</v>
      </c>
    </row>
    <row r="13" spans="1:15" ht="23.25" customHeight="1">
      <c r="A13" s="1276">
        <v>8</v>
      </c>
      <c r="B13" s="665" t="s">
        <v>276</v>
      </c>
      <c r="C13" s="662">
        <v>12004.699451589197</v>
      </c>
      <c r="D13" s="662">
        <v>1086.0677710044381</v>
      </c>
      <c r="E13" s="664">
        <v>192.26451200000002</v>
      </c>
      <c r="F13" s="662">
        <v>9205.9959762953113</v>
      </c>
      <c r="G13" s="662">
        <v>7047.3119549386856</v>
      </c>
      <c r="H13" s="662">
        <v>873.52</v>
      </c>
      <c r="I13" s="662">
        <f t="shared" si="1"/>
        <v>3933.3087989820779</v>
      </c>
      <c r="J13" s="662">
        <v>33469.64846480971</v>
      </c>
      <c r="K13" s="662">
        <v>14986.906789147581</v>
      </c>
      <c r="L13" s="662">
        <v>1123.7099900000001</v>
      </c>
      <c r="M13" s="662">
        <v>3386.0861318751404</v>
      </c>
      <c r="N13" s="662">
        <f t="shared" si="0"/>
        <v>19496.702911022719</v>
      </c>
      <c r="O13" s="1292">
        <v>53839.87137583243</v>
      </c>
    </row>
    <row r="14" spans="1:15" ht="23.25" customHeight="1">
      <c r="A14" s="1276">
        <v>9</v>
      </c>
      <c r="B14" s="665" t="s">
        <v>522</v>
      </c>
      <c r="C14" s="662">
        <v>11079.976503182126</v>
      </c>
      <c r="D14" s="662">
        <v>700.59190542263934</v>
      </c>
      <c r="E14" s="664">
        <v>200.27182300000001</v>
      </c>
      <c r="F14" s="662">
        <v>10883.062281372444</v>
      </c>
      <c r="G14" s="662">
        <v>7785.9875653675499</v>
      </c>
      <c r="H14" s="662">
        <v>858</v>
      </c>
      <c r="I14" s="663">
        <f>4209+525</f>
        <v>4734</v>
      </c>
      <c r="J14" s="662">
        <f>SUM(C14:I14)</f>
        <v>36241.890078344761</v>
      </c>
      <c r="K14" s="662">
        <v>16115.2368906021</v>
      </c>
      <c r="L14" s="662">
        <v>567</v>
      </c>
      <c r="M14" s="662">
        <v>3569</v>
      </c>
      <c r="N14" s="662">
        <f t="shared" si="0"/>
        <v>20251.2368906021</v>
      </c>
      <c r="O14" s="1292">
        <v>56492</v>
      </c>
    </row>
    <row r="15" spans="1:15" ht="23.25" customHeight="1">
      <c r="A15" s="1276">
        <v>10</v>
      </c>
      <c r="B15" s="665" t="s">
        <v>652</v>
      </c>
      <c r="C15" s="662">
        <v>10835.760690382685</v>
      </c>
      <c r="D15" s="662">
        <v>554.75308740307923</v>
      </c>
      <c r="E15" s="664">
        <v>177.445922</v>
      </c>
      <c r="F15" s="662">
        <v>9229.9443958319171</v>
      </c>
      <c r="G15" s="662">
        <v>7911.1842978974892</v>
      </c>
      <c r="H15" s="662">
        <v>900</v>
      </c>
      <c r="I15" s="662">
        <f>4569+439</f>
        <v>5008</v>
      </c>
      <c r="J15" s="662">
        <f>SUM(C15:I15)</f>
        <v>34617.088393515172</v>
      </c>
      <c r="K15" s="663">
        <v>17781</v>
      </c>
      <c r="L15" s="662">
        <v>647</v>
      </c>
      <c r="M15" s="662">
        <v>3072</v>
      </c>
      <c r="N15" s="662">
        <f t="shared" si="0"/>
        <v>21500</v>
      </c>
      <c r="O15" s="1292">
        <v>56117</v>
      </c>
    </row>
    <row r="16" spans="1:15" ht="23.25" customHeight="1">
      <c r="A16" s="1276">
        <v>11</v>
      </c>
      <c r="B16" s="665" t="s">
        <v>990</v>
      </c>
      <c r="C16" s="662">
        <v>10157</v>
      </c>
      <c r="D16" s="662">
        <v>829</v>
      </c>
      <c r="E16" s="664">
        <v>156</v>
      </c>
      <c r="F16" s="662">
        <v>12175</v>
      </c>
      <c r="G16" s="662">
        <v>5312</v>
      </c>
      <c r="H16" s="662">
        <v>1070</v>
      </c>
      <c r="I16" s="662">
        <f>9229+486</f>
        <v>9715</v>
      </c>
      <c r="J16" s="662">
        <f>SUM(C16:I16)</f>
        <v>39414</v>
      </c>
      <c r="K16" s="663">
        <v>18079</v>
      </c>
      <c r="L16" s="662">
        <v>1134</v>
      </c>
      <c r="M16" s="662">
        <v>2864</v>
      </c>
      <c r="N16" s="662">
        <f t="shared" si="0"/>
        <v>22077</v>
      </c>
      <c r="O16" s="1292">
        <v>61491</v>
      </c>
    </row>
    <row r="17" spans="1:15">
      <c r="A17" s="1293" t="s">
        <v>1309</v>
      </c>
      <c r="B17" s="1290"/>
      <c r="C17" s="1291"/>
      <c r="D17" s="1291"/>
      <c r="E17" s="1291"/>
      <c r="F17" s="1290"/>
      <c r="G17" s="1290"/>
      <c r="H17" s="1290"/>
      <c r="I17" s="1291"/>
      <c r="J17" s="1291"/>
      <c r="K17" s="1290"/>
      <c r="L17" s="1291"/>
      <c r="M17" s="1291"/>
      <c r="N17" s="1291"/>
      <c r="O17" s="1294"/>
    </row>
    <row r="18" spans="1:15">
      <c r="A18" s="1293" t="s">
        <v>1308</v>
      </c>
      <c r="B18" s="1290"/>
      <c r="C18" s="1291"/>
      <c r="D18" s="1291"/>
      <c r="E18" s="1291"/>
      <c r="F18" s="1291"/>
      <c r="G18" s="1290"/>
      <c r="H18" s="1290"/>
      <c r="I18" s="1290"/>
      <c r="J18" s="1291"/>
      <c r="K18" s="1290" t="s">
        <v>1307</v>
      </c>
      <c r="L18" s="1291"/>
      <c r="M18" s="1291"/>
      <c r="N18" s="1291"/>
      <c r="O18" s="1294"/>
    </row>
    <row r="19" spans="1:15">
      <c r="A19" s="1293" t="s">
        <v>1306</v>
      </c>
      <c r="B19" s="1290"/>
      <c r="C19" s="1290"/>
      <c r="D19" s="1290"/>
      <c r="E19" s="1290"/>
      <c r="F19" s="1290"/>
      <c r="G19" s="1290"/>
      <c r="H19" s="1290"/>
      <c r="I19" s="1290"/>
      <c r="J19" s="1290"/>
      <c r="K19" s="1290"/>
      <c r="L19" s="1290"/>
      <c r="M19" s="1290"/>
      <c r="N19" s="1290"/>
      <c r="O19" s="1295"/>
    </row>
    <row r="20" spans="1:15" ht="30.75" customHeight="1" thickBot="1">
      <c r="A20" s="2099" t="s">
        <v>1305</v>
      </c>
      <c r="B20" s="2100"/>
      <c r="C20" s="2100"/>
      <c r="D20" s="2100"/>
      <c r="E20" s="2100"/>
      <c r="F20" s="2100"/>
      <c r="G20" s="2100"/>
      <c r="H20" s="2100"/>
      <c r="I20" s="2100"/>
      <c r="J20" s="2100"/>
      <c r="K20" s="2100"/>
      <c r="L20" s="2100"/>
      <c r="M20" s="2100"/>
      <c r="N20" s="2100"/>
      <c r="O20" s="2101"/>
    </row>
    <row r="21" spans="1:15" ht="15.75" thickTop="1"/>
  </sheetData>
  <mergeCells count="9">
    <mergeCell ref="A20:O20"/>
    <mergeCell ref="A1:O1"/>
    <mergeCell ref="A2:O2"/>
    <mergeCell ref="A3:O3"/>
    <mergeCell ref="A4:A5"/>
    <mergeCell ref="B4:B5"/>
    <mergeCell ref="C4:J4"/>
    <mergeCell ref="K4:N4"/>
    <mergeCell ref="O4:O5"/>
  </mergeCells>
  <conditionalFormatting sqref="B14:G14 B16:G16 H14:O16 A6:O13">
    <cfRule type="expression" dxfId="88" priority="2">
      <formula>MOD(ROW(),3)=1</formula>
    </cfRule>
  </conditionalFormatting>
  <conditionalFormatting sqref="B15:G15">
    <cfRule type="expression" dxfId="87" priority="1">
      <formula>MOD(ROW(),3)=1</formula>
    </cfRule>
  </conditionalFormatting>
  <printOptions horizontalCentered="1" verticalCentered="1"/>
  <pageMargins left="0.35433070866141736" right="0.31496062992125984" top="0.51181102362204722" bottom="0.19685039370078741" header="0.31496062992125984" footer="0.31496062992125984"/>
  <pageSetup paperSize="9" scale="98" fitToHeight="0" orientation="landscape" r:id="rId1"/>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BFC86D-1D3F-457B-8AC2-3F75047B656C}">
  <dimension ref="A1:T58"/>
  <sheetViews>
    <sheetView view="pageBreakPreview" zoomScaleSheetLayoutView="100" workbookViewId="0">
      <selection activeCell="S17" sqref="S17"/>
    </sheetView>
  </sheetViews>
  <sheetFormatPr defaultColWidth="9" defaultRowHeight="15"/>
  <cols>
    <col min="1" max="1" width="9" style="667"/>
    <col min="2" max="2" width="21.7109375" style="667" customWidth="1"/>
    <col min="3" max="3" width="12.7109375" style="667" hidden="1" customWidth="1"/>
    <col min="4" max="5" width="12.7109375" style="667" customWidth="1"/>
    <col min="6" max="6" width="10.5703125" style="667" hidden="1" customWidth="1"/>
    <col min="7" max="8" width="11.85546875" style="667" customWidth="1"/>
    <col min="9" max="9" width="11.85546875" style="667" hidden="1" customWidth="1"/>
    <col min="10" max="11" width="11.85546875" style="667" customWidth="1"/>
    <col min="12" max="12" width="10" style="667" hidden="1" customWidth="1"/>
    <col min="13" max="14" width="10" style="667" customWidth="1"/>
    <col min="15" max="15" width="15" style="667" hidden="1" customWidth="1"/>
    <col min="16" max="17" width="13.42578125" style="667" customWidth="1"/>
    <col min="18" max="18" width="22.42578125" style="667" customWidth="1"/>
    <col min="19" max="16384" width="9" style="667"/>
  </cols>
  <sheetData>
    <row r="1" spans="1:20" s="669" customFormat="1" ht="24.75" customHeight="1" thickTop="1">
      <c r="A1" s="2114" t="s">
        <v>2577</v>
      </c>
      <c r="B1" s="2115"/>
      <c r="C1" s="2115"/>
      <c r="D1" s="2115"/>
      <c r="E1" s="2115"/>
      <c r="F1" s="2115"/>
      <c r="G1" s="2115"/>
      <c r="H1" s="2115"/>
      <c r="I1" s="2115"/>
      <c r="J1" s="2115"/>
      <c r="K1" s="2115"/>
      <c r="L1" s="2115"/>
      <c r="M1" s="2115"/>
      <c r="N1" s="2115"/>
      <c r="O1" s="2115"/>
      <c r="P1" s="2115"/>
      <c r="Q1" s="2115"/>
      <c r="R1" s="2116"/>
    </row>
    <row r="2" spans="1:20" s="669" customFormat="1" ht="24.75" customHeight="1">
      <c r="A2" s="2117" t="s">
        <v>2578</v>
      </c>
      <c r="B2" s="2118"/>
      <c r="C2" s="2118"/>
      <c r="D2" s="2118"/>
      <c r="E2" s="2118"/>
      <c r="F2" s="2118"/>
      <c r="G2" s="2118"/>
      <c r="H2" s="2118"/>
      <c r="I2" s="2118"/>
      <c r="J2" s="2118"/>
      <c r="K2" s="2118"/>
      <c r="L2" s="2118"/>
      <c r="M2" s="2118"/>
      <c r="N2" s="2118"/>
      <c r="O2" s="2118"/>
      <c r="P2" s="2118"/>
      <c r="Q2" s="2118"/>
      <c r="R2" s="2119"/>
    </row>
    <row r="3" spans="1:20" s="669" customFormat="1" ht="24.75" customHeight="1">
      <c r="A3" s="1296"/>
      <c r="B3" s="1297"/>
      <c r="C3" s="1297"/>
      <c r="D3" s="1297"/>
      <c r="E3" s="1297"/>
      <c r="I3" s="2120" t="s">
        <v>1342</v>
      </c>
      <c r="J3" s="2120"/>
      <c r="K3" s="2120"/>
      <c r="L3" s="2120"/>
      <c r="M3" s="2120"/>
      <c r="N3" s="2120"/>
      <c r="O3" s="2120"/>
      <c r="P3" s="2120"/>
      <c r="Q3" s="2120"/>
      <c r="R3" s="2121"/>
      <c r="T3" s="680"/>
    </row>
    <row r="4" spans="1:20" s="678" customFormat="1" ht="31.5" customHeight="1">
      <c r="A4" s="2122" t="s">
        <v>686</v>
      </c>
      <c r="B4" s="2123" t="s">
        <v>1341</v>
      </c>
      <c r="C4" s="2123" t="s">
        <v>1340</v>
      </c>
      <c r="D4" s="2123"/>
      <c r="E4" s="2123"/>
      <c r="F4" s="2123"/>
      <c r="G4" s="2123"/>
      <c r="H4" s="2123"/>
      <c r="I4" s="2123"/>
      <c r="J4" s="2123"/>
      <c r="K4" s="2123"/>
      <c r="L4" s="2123"/>
      <c r="M4" s="2123"/>
      <c r="N4" s="2123"/>
      <c r="O4" s="2123"/>
      <c r="P4" s="2123"/>
      <c r="Q4" s="2123"/>
      <c r="R4" s="2124" t="s">
        <v>1339</v>
      </c>
    </row>
    <row r="5" spans="1:20" s="678" customFormat="1" ht="27.75" customHeight="1">
      <c r="A5" s="2122"/>
      <c r="B5" s="2123"/>
      <c r="C5" s="679">
        <v>2019</v>
      </c>
      <c r="D5" s="679">
        <v>2022</v>
      </c>
      <c r="E5" s="679">
        <v>2023</v>
      </c>
      <c r="F5" s="679">
        <v>2019</v>
      </c>
      <c r="G5" s="679">
        <v>2022</v>
      </c>
      <c r="H5" s="679">
        <v>2023</v>
      </c>
      <c r="I5" s="679">
        <v>2019</v>
      </c>
      <c r="J5" s="679">
        <v>2022</v>
      </c>
      <c r="K5" s="679">
        <v>2023</v>
      </c>
      <c r="L5" s="679">
        <v>2019</v>
      </c>
      <c r="M5" s="679">
        <v>2022</v>
      </c>
      <c r="N5" s="679">
        <v>2023</v>
      </c>
      <c r="O5" s="679">
        <v>2019</v>
      </c>
      <c r="P5" s="679">
        <v>2022</v>
      </c>
      <c r="Q5" s="679">
        <v>2023</v>
      </c>
      <c r="R5" s="2124"/>
    </row>
    <row r="6" spans="1:20" s="678" customFormat="1" ht="50.25" customHeight="1">
      <c r="A6" s="2122"/>
      <c r="B6" s="2123"/>
      <c r="C6" s="2123" t="s">
        <v>1338</v>
      </c>
      <c r="D6" s="2123"/>
      <c r="E6" s="2123"/>
      <c r="F6" s="2123" t="s">
        <v>1337</v>
      </c>
      <c r="G6" s="2123"/>
      <c r="H6" s="2123"/>
      <c r="I6" s="2123" t="s">
        <v>1336</v>
      </c>
      <c r="J6" s="2123"/>
      <c r="K6" s="2123"/>
      <c r="L6" s="2123" t="s">
        <v>1335</v>
      </c>
      <c r="M6" s="2123"/>
      <c r="N6" s="2123"/>
      <c r="O6" s="2125" t="s">
        <v>1334</v>
      </c>
      <c r="P6" s="2125"/>
      <c r="Q6" s="2125"/>
      <c r="R6" s="2124"/>
    </row>
    <row r="7" spans="1:20" s="669" customFormat="1" ht="18" customHeight="1">
      <c r="A7" s="1298">
        <v>1</v>
      </c>
      <c r="B7" s="677" t="s">
        <v>144</v>
      </c>
      <c r="C7" s="675">
        <v>77803</v>
      </c>
      <c r="D7" s="675">
        <v>77803</v>
      </c>
      <c r="E7" s="675">
        <v>77803</v>
      </c>
      <c r="F7" s="673"/>
      <c r="G7" s="673">
        <v>22972</v>
      </c>
      <c r="H7" s="673">
        <v>22972</v>
      </c>
      <c r="I7" s="673"/>
      <c r="J7" s="673">
        <v>16460</v>
      </c>
      <c r="K7" s="673">
        <v>16460</v>
      </c>
      <c r="L7" s="673"/>
      <c r="M7" s="673">
        <v>34045</v>
      </c>
      <c r="N7" s="673">
        <v>34045</v>
      </c>
      <c r="O7" s="673"/>
      <c r="P7" s="674">
        <v>3815.6</v>
      </c>
      <c r="Q7" s="673">
        <v>3815.6</v>
      </c>
      <c r="R7" s="1299" t="s">
        <v>14</v>
      </c>
    </row>
    <row r="8" spans="1:20" s="669" customFormat="1" ht="18" customHeight="1">
      <c r="A8" s="1298">
        <v>2</v>
      </c>
      <c r="B8" s="672" t="s">
        <v>145</v>
      </c>
      <c r="C8" s="675">
        <v>18551</v>
      </c>
      <c r="D8" s="675">
        <v>218551</v>
      </c>
      <c r="E8" s="675">
        <v>218551</v>
      </c>
      <c r="F8" s="673"/>
      <c r="G8" s="673">
        <v>35065</v>
      </c>
      <c r="H8" s="673">
        <v>35065</v>
      </c>
      <c r="I8" s="673"/>
      <c r="J8" s="673">
        <v>25008</v>
      </c>
      <c r="K8" s="673">
        <v>25008</v>
      </c>
      <c r="L8" s="673"/>
      <c r="M8" s="673">
        <v>22</v>
      </c>
      <c r="N8" s="673">
        <v>131</v>
      </c>
      <c r="O8" s="673"/>
      <c r="P8" s="674">
        <v>963.2</v>
      </c>
      <c r="Q8" s="673">
        <v>963.2</v>
      </c>
      <c r="R8" s="1300" t="s">
        <v>15</v>
      </c>
    </row>
    <row r="9" spans="1:20" s="669" customFormat="1" ht="18" customHeight="1">
      <c r="A9" s="1298">
        <v>3</v>
      </c>
      <c r="B9" s="672" t="s">
        <v>146</v>
      </c>
      <c r="C9" s="675">
        <v>642996</v>
      </c>
      <c r="D9" s="675">
        <v>647761</v>
      </c>
      <c r="E9" s="675">
        <v>647761</v>
      </c>
      <c r="F9" s="673"/>
      <c r="G9" s="673">
        <v>46879</v>
      </c>
      <c r="H9" s="673">
        <v>46879</v>
      </c>
      <c r="I9" s="673"/>
      <c r="J9" s="673">
        <v>29330</v>
      </c>
      <c r="K9" s="673">
        <v>29538</v>
      </c>
      <c r="L9" s="673"/>
      <c r="M9" s="673">
        <v>45</v>
      </c>
      <c r="N9" s="673">
        <v>45</v>
      </c>
      <c r="O9" s="673"/>
      <c r="P9" s="674">
        <v>1605</v>
      </c>
      <c r="Q9" s="673">
        <v>1605</v>
      </c>
      <c r="R9" s="1300" t="s">
        <v>21</v>
      </c>
    </row>
    <row r="10" spans="1:20" s="669" customFormat="1" ht="18" customHeight="1">
      <c r="A10" s="1298">
        <v>4</v>
      </c>
      <c r="B10" s="672" t="s">
        <v>147</v>
      </c>
      <c r="C10" s="675">
        <v>1725478</v>
      </c>
      <c r="D10" s="675">
        <v>1735227</v>
      </c>
      <c r="E10" s="675">
        <v>1735227</v>
      </c>
      <c r="F10" s="673"/>
      <c r="G10" s="673">
        <v>12303</v>
      </c>
      <c r="H10" s="673">
        <v>12303</v>
      </c>
      <c r="I10" s="673"/>
      <c r="J10" s="673">
        <v>52431</v>
      </c>
      <c r="K10" s="673">
        <v>54147</v>
      </c>
      <c r="L10" s="673"/>
      <c r="M10" s="673">
        <v>2813</v>
      </c>
      <c r="N10" s="673">
        <v>2813</v>
      </c>
      <c r="O10" s="673"/>
      <c r="P10" s="674">
        <v>6905</v>
      </c>
      <c r="Q10" s="673">
        <v>6905</v>
      </c>
      <c r="R10" s="1300" t="s">
        <v>22</v>
      </c>
    </row>
    <row r="11" spans="1:20" s="669" customFormat="1" ht="18" customHeight="1">
      <c r="A11" s="1298">
        <v>5</v>
      </c>
      <c r="B11" s="672" t="s">
        <v>148</v>
      </c>
      <c r="C11" s="675">
        <v>3311</v>
      </c>
      <c r="D11" s="675">
        <v>3311</v>
      </c>
      <c r="E11" s="675">
        <v>3311</v>
      </c>
      <c r="F11" s="673"/>
      <c r="G11" s="673">
        <v>42232</v>
      </c>
      <c r="H11" s="673">
        <v>42232</v>
      </c>
      <c r="I11" s="673"/>
      <c r="J11" s="673">
        <v>4449</v>
      </c>
      <c r="K11" s="673">
        <v>4538</v>
      </c>
      <c r="L11" s="673"/>
      <c r="M11" s="673">
        <v>61970</v>
      </c>
      <c r="N11" s="673">
        <v>119282</v>
      </c>
      <c r="O11" s="673"/>
      <c r="P11" s="674">
        <v>31372.9</v>
      </c>
      <c r="Q11" s="673">
        <v>31372.9</v>
      </c>
      <c r="R11" s="1300" t="s">
        <v>23</v>
      </c>
    </row>
    <row r="12" spans="1:20" s="669" customFormat="1" ht="18" customHeight="1">
      <c r="A12" s="1298">
        <v>6</v>
      </c>
      <c r="B12" s="672" t="s">
        <v>150</v>
      </c>
      <c r="C12" s="675">
        <v>1093</v>
      </c>
      <c r="D12" s="675">
        <v>1093</v>
      </c>
      <c r="E12" s="675">
        <v>1093</v>
      </c>
      <c r="F12" s="673"/>
      <c r="G12" s="673">
        <v>393</v>
      </c>
      <c r="H12" s="673">
        <v>393</v>
      </c>
      <c r="I12" s="673"/>
      <c r="J12" s="673">
        <v>707</v>
      </c>
      <c r="K12" s="673">
        <v>707</v>
      </c>
      <c r="L12" s="673"/>
      <c r="M12" s="673">
        <v>45</v>
      </c>
      <c r="N12" s="673">
        <v>45</v>
      </c>
      <c r="O12" s="673"/>
      <c r="P12" s="674">
        <v>32.72</v>
      </c>
      <c r="Q12" s="673">
        <v>32.72</v>
      </c>
      <c r="R12" s="1300" t="s">
        <v>16</v>
      </c>
    </row>
    <row r="13" spans="1:20" s="669" customFormat="1" ht="18" customHeight="1">
      <c r="A13" s="1298">
        <v>7</v>
      </c>
      <c r="B13" s="672" t="s">
        <v>151</v>
      </c>
      <c r="C13" s="675">
        <v>31603</v>
      </c>
      <c r="D13" s="675">
        <v>31603</v>
      </c>
      <c r="E13" s="675">
        <v>31603</v>
      </c>
      <c r="F13" s="673"/>
      <c r="G13" s="673">
        <v>9253</v>
      </c>
      <c r="H13" s="673">
        <v>9253</v>
      </c>
      <c r="I13" s="673"/>
      <c r="J13" s="673">
        <v>5004</v>
      </c>
      <c r="K13" s="673">
        <v>5004</v>
      </c>
      <c r="L13" s="673"/>
      <c r="M13" s="673">
        <v>11981</v>
      </c>
      <c r="N13" s="673">
        <v>13621</v>
      </c>
      <c r="O13" s="673"/>
      <c r="P13" s="674">
        <v>13576.6</v>
      </c>
      <c r="Q13" s="673">
        <v>13576.6</v>
      </c>
      <c r="R13" s="1300" t="s">
        <v>17</v>
      </c>
    </row>
    <row r="14" spans="1:20" s="669" customFormat="1" ht="18" customHeight="1">
      <c r="A14" s="1298">
        <v>8</v>
      </c>
      <c r="B14" s="672" t="s">
        <v>152</v>
      </c>
      <c r="C14" s="675">
        <v>93853</v>
      </c>
      <c r="D14" s="675">
        <v>93853</v>
      </c>
      <c r="E14" s="675">
        <v>93853</v>
      </c>
      <c r="F14" s="673"/>
      <c r="G14" s="673">
        <v>56727</v>
      </c>
      <c r="H14" s="673">
        <v>56727</v>
      </c>
      <c r="I14" s="673"/>
      <c r="J14" s="673">
        <v>34625</v>
      </c>
      <c r="K14" s="673">
        <v>34625</v>
      </c>
      <c r="L14" s="673"/>
      <c r="M14" s="673">
        <v>33901</v>
      </c>
      <c r="N14" s="673">
        <v>44091</v>
      </c>
      <c r="O14" s="673"/>
      <c r="P14" s="674">
        <v>2321.25</v>
      </c>
      <c r="Q14" s="673">
        <v>2321.25</v>
      </c>
      <c r="R14" s="1300" t="s">
        <v>25</v>
      </c>
    </row>
    <row r="15" spans="1:20" s="669" customFormat="1" ht="18" customHeight="1">
      <c r="A15" s="1298">
        <v>9</v>
      </c>
      <c r="B15" s="672" t="s">
        <v>153</v>
      </c>
      <c r="C15" s="675">
        <v>33909</v>
      </c>
      <c r="D15" s="675">
        <v>33909</v>
      </c>
      <c r="E15" s="675">
        <v>33909</v>
      </c>
      <c r="F15" s="673"/>
      <c r="G15" s="673">
        <v>22592</v>
      </c>
      <c r="H15" s="673">
        <v>22592</v>
      </c>
      <c r="I15" s="673"/>
      <c r="J15" s="673">
        <v>98500</v>
      </c>
      <c r="K15" s="673">
        <v>98800</v>
      </c>
      <c r="L15" s="673"/>
      <c r="M15" s="673">
        <v>231</v>
      </c>
      <c r="N15" s="673">
        <v>497</v>
      </c>
      <c r="O15" s="673"/>
      <c r="P15" s="674">
        <v>1905.5</v>
      </c>
      <c r="Q15" s="673">
        <v>1905.5</v>
      </c>
      <c r="R15" s="1300" t="s">
        <v>5</v>
      </c>
    </row>
    <row r="16" spans="1:20" s="669" customFormat="1" ht="18" customHeight="1">
      <c r="A16" s="1298">
        <v>10</v>
      </c>
      <c r="B16" s="672" t="s">
        <v>1333</v>
      </c>
      <c r="C16" s="675">
        <v>51224</v>
      </c>
      <c r="D16" s="675">
        <v>51224</v>
      </c>
      <c r="E16" s="675">
        <v>51224</v>
      </c>
      <c r="F16" s="673"/>
      <c r="G16" s="673">
        <v>144316</v>
      </c>
      <c r="H16" s="673">
        <v>144316</v>
      </c>
      <c r="I16" s="673"/>
      <c r="J16" s="673">
        <v>38826</v>
      </c>
      <c r="K16" s="673">
        <v>39076</v>
      </c>
      <c r="L16" s="673"/>
      <c r="M16" s="673">
        <v>142</v>
      </c>
      <c r="N16" s="673">
        <v>528</v>
      </c>
      <c r="O16" s="673"/>
      <c r="P16" s="674">
        <v>8129.85</v>
      </c>
      <c r="Q16" s="673">
        <v>8129.85</v>
      </c>
      <c r="R16" s="1300" t="s">
        <v>632</v>
      </c>
    </row>
    <row r="17" spans="1:18" s="669" customFormat="1" ht="18" customHeight="1">
      <c r="A17" s="1298">
        <v>11</v>
      </c>
      <c r="B17" s="672" t="s">
        <v>155</v>
      </c>
      <c r="C17" s="675">
        <v>790515</v>
      </c>
      <c r="D17" s="675">
        <v>790515</v>
      </c>
      <c r="E17" s="675">
        <v>790515</v>
      </c>
      <c r="F17" s="673"/>
      <c r="G17" s="673">
        <v>9450</v>
      </c>
      <c r="H17" s="673">
        <v>9450</v>
      </c>
      <c r="I17" s="673"/>
      <c r="J17" s="673">
        <v>14344</v>
      </c>
      <c r="K17" s="673">
        <v>14344</v>
      </c>
      <c r="L17" s="673"/>
      <c r="M17" s="673">
        <v>11387</v>
      </c>
      <c r="N17" s="673">
        <v>15687</v>
      </c>
      <c r="O17" s="673"/>
      <c r="P17" s="674">
        <v>3769.9</v>
      </c>
      <c r="Q17" s="673">
        <v>3769.9</v>
      </c>
      <c r="R17" s="1300" t="s">
        <v>27</v>
      </c>
    </row>
    <row r="18" spans="1:18" s="669" customFormat="1" ht="18" customHeight="1">
      <c r="A18" s="1298">
        <v>12</v>
      </c>
      <c r="B18" s="672" t="s">
        <v>156</v>
      </c>
      <c r="C18" s="675">
        <v>7781</v>
      </c>
      <c r="D18" s="675">
        <v>7781</v>
      </c>
      <c r="E18" s="675">
        <v>7781</v>
      </c>
      <c r="F18" s="673"/>
      <c r="G18" s="673">
        <v>52638</v>
      </c>
      <c r="H18" s="673">
        <v>52638</v>
      </c>
      <c r="I18" s="673"/>
      <c r="J18" s="673">
        <v>5694</v>
      </c>
      <c r="K18" s="673">
        <v>5694</v>
      </c>
      <c r="L18" s="673"/>
      <c r="M18" s="673">
        <v>7734</v>
      </c>
      <c r="N18" s="673">
        <v>7734</v>
      </c>
      <c r="O18" s="673"/>
      <c r="P18" s="674">
        <v>7854.01</v>
      </c>
      <c r="Q18" s="673">
        <v>7854.01</v>
      </c>
      <c r="R18" s="1300" t="s">
        <v>28</v>
      </c>
    </row>
    <row r="19" spans="1:18" s="669" customFormat="1" ht="18" customHeight="1">
      <c r="A19" s="1298">
        <v>13</v>
      </c>
      <c r="B19" s="672" t="s">
        <v>157</v>
      </c>
      <c r="C19" s="675">
        <v>54367</v>
      </c>
      <c r="D19" s="675">
        <v>54367</v>
      </c>
      <c r="E19" s="675">
        <v>54367</v>
      </c>
      <c r="F19" s="673"/>
      <c r="G19" s="673">
        <v>41912</v>
      </c>
      <c r="H19" s="673">
        <v>41912</v>
      </c>
      <c r="I19" s="673"/>
      <c r="J19" s="673">
        <v>1735</v>
      </c>
      <c r="K19" s="673">
        <v>1735</v>
      </c>
      <c r="L19" s="673"/>
      <c r="M19" s="673">
        <v>818</v>
      </c>
      <c r="N19" s="673">
        <v>818</v>
      </c>
      <c r="O19" s="673"/>
      <c r="P19" s="674">
        <v>16268.39</v>
      </c>
      <c r="Q19" s="673">
        <v>16268.39</v>
      </c>
      <c r="R19" s="1300" t="s">
        <v>6</v>
      </c>
    </row>
    <row r="20" spans="1:18" s="669" customFormat="1" ht="18" customHeight="1">
      <c r="A20" s="1298">
        <v>14</v>
      </c>
      <c r="B20" s="672" t="s">
        <v>158</v>
      </c>
      <c r="C20" s="675">
        <v>529101</v>
      </c>
      <c r="D20" s="675">
        <v>529101</v>
      </c>
      <c r="E20" s="675">
        <v>529101</v>
      </c>
      <c r="F20" s="673"/>
      <c r="G20" s="673">
        <v>7920</v>
      </c>
      <c r="H20" s="673">
        <v>7920</v>
      </c>
      <c r="I20" s="673"/>
      <c r="J20" s="673">
        <v>16673</v>
      </c>
      <c r="K20" s="673">
        <v>16808</v>
      </c>
      <c r="L20" s="673"/>
      <c r="M20" s="673">
        <v>25047</v>
      </c>
      <c r="N20" s="673">
        <v>25047</v>
      </c>
      <c r="O20" s="673"/>
      <c r="P20" s="674">
        <v>3654</v>
      </c>
      <c r="Q20" s="673">
        <v>3654</v>
      </c>
      <c r="R20" s="1300" t="s">
        <v>18</v>
      </c>
    </row>
    <row r="21" spans="1:18" s="669" customFormat="1" ht="18" customHeight="1">
      <c r="A21" s="1298">
        <v>15</v>
      </c>
      <c r="B21" s="672" t="s">
        <v>159</v>
      </c>
      <c r="C21" s="675">
        <v>239297</v>
      </c>
      <c r="D21" s="675">
        <v>239297</v>
      </c>
      <c r="E21" s="675">
        <v>239297</v>
      </c>
      <c r="F21" s="673"/>
      <c r="G21" s="673">
        <v>3497</v>
      </c>
      <c r="H21" s="673">
        <v>3497</v>
      </c>
      <c r="I21" s="673"/>
      <c r="J21" s="673">
        <v>10420</v>
      </c>
      <c r="K21" s="673">
        <v>10420</v>
      </c>
      <c r="L21" s="673"/>
      <c r="M21" s="673">
        <v>13741</v>
      </c>
      <c r="N21" s="673">
        <v>54550</v>
      </c>
      <c r="O21" s="673"/>
      <c r="P21" s="674">
        <v>3857.7</v>
      </c>
      <c r="Q21" s="673">
        <v>3857.7</v>
      </c>
      <c r="R21" s="1300" t="s">
        <v>29</v>
      </c>
    </row>
    <row r="22" spans="1:18" s="669" customFormat="1" ht="18" customHeight="1">
      <c r="A22" s="1298">
        <v>16</v>
      </c>
      <c r="B22" s="672" t="s">
        <v>160</v>
      </c>
      <c r="C22" s="675">
        <v>9058</v>
      </c>
      <c r="D22" s="675">
        <v>69722</v>
      </c>
      <c r="E22" s="675">
        <v>69722</v>
      </c>
      <c r="F22" s="673"/>
      <c r="G22" s="673">
        <v>24583</v>
      </c>
      <c r="H22" s="673">
        <v>24583</v>
      </c>
      <c r="I22" s="673"/>
      <c r="J22" s="673">
        <v>32347</v>
      </c>
      <c r="K22" s="673">
        <v>32767</v>
      </c>
      <c r="L22" s="673"/>
      <c r="M22" s="673">
        <v>68</v>
      </c>
      <c r="N22" s="673">
        <v>68</v>
      </c>
      <c r="O22" s="673"/>
      <c r="P22" s="674">
        <v>1580.5</v>
      </c>
      <c r="Q22" s="673">
        <v>1580.5</v>
      </c>
      <c r="R22" s="1300" t="s">
        <v>19</v>
      </c>
    </row>
    <row r="23" spans="1:18" s="669" customFormat="1" ht="18" customHeight="1">
      <c r="A23" s="1298">
        <v>17</v>
      </c>
      <c r="B23" s="672" t="s">
        <v>161</v>
      </c>
      <c r="C23" s="675">
        <v>40750</v>
      </c>
      <c r="D23" s="675">
        <v>97360</v>
      </c>
      <c r="E23" s="675">
        <v>97360</v>
      </c>
      <c r="F23" s="673"/>
      <c r="G23" s="673">
        <v>14874</v>
      </c>
      <c r="H23" s="673">
        <v>14874</v>
      </c>
      <c r="I23" s="673"/>
      <c r="J23" s="673">
        <v>5800</v>
      </c>
      <c r="K23" s="673">
        <v>5800</v>
      </c>
      <c r="L23" s="673"/>
      <c r="M23" s="673">
        <v>54</v>
      </c>
      <c r="N23" s="673">
        <v>54</v>
      </c>
      <c r="O23" s="673"/>
      <c r="P23" s="674">
        <v>2004</v>
      </c>
      <c r="Q23" s="673">
        <v>2004</v>
      </c>
      <c r="R23" s="1300" t="s">
        <v>8</v>
      </c>
    </row>
    <row r="24" spans="1:18" s="669" customFormat="1" ht="18" customHeight="1">
      <c r="A24" s="1298">
        <v>18</v>
      </c>
      <c r="B24" s="672" t="s">
        <v>162</v>
      </c>
      <c r="C24" s="675">
        <v>10512</v>
      </c>
      <c r="D24" s="675">
        <v>155217</v>
      </c>
      <c r="E24" s="675">
        <v>155217</v>
      </c>
      <c r="F24" s="673"/>
      <c r="G24" s="673">
        <v>12060</v>
      </c>
      <c r="H24" s="673">
        <v>12060</v>
      </c>
      <c r="I24" s="673"/>
      <c r="J24" s="673">
        <v>20325</v>
      </c>
      <c r="K24" s="673">
        <v>20325</v>
      </c>
      <c r="L24" s="673"/>
      <c r="M24" s="673">
        <v>37</v>
      </c>
      <c r="N24" s="673">
        <v>37</v>
      </c>
      <c r="O24" s="673"/>
      <c r="P24" s="674">
        <v>3894.6</v>
      </c>
      <c r="Q24" s="673">
        <v>3894.6</v>
      </c>
      <c r="R24" s="1300" t="s">
        <v>30</v>
      </c>
    </row>
    <row r="25" spans="1:18" s="669" customFormat="1" ht="18" customHeight="1">
      <c r="A25" s="1298">
        <v>19</v>
      </c>
      <c r="B25" s="672" t="s">
        <v>163</v>
      </c>
      <c r="C25" s="675">
        <v>6766</v>
      </c>
      <c r="D25" s="675">
        <v>30766</v>
      </c>
      <c r="E25" s="675">
        <v>30766</v>
      </c>
      <c r="F25" s="673"/>
      <c r="G25" s="673">
        <v>1045</v>
      </c>
      <c r="H25" s="673">
        <v>1045</v>
      </c>
      <c r="I25" s="673"/>
      <c r="J25" s="673">
        <v>16045</v>
      </c>
      <c r="K25" s="673">
        <v>16045</v>
      </c>
      <c r="L25" s="673"/>
      <c r="M25" s="673">
        <v>3</v>
      </c>
      <c r="N25" s="673">
        <v>3</v>
      </c>
      <c r="O25" s="673"/>
      <c r="P25" s="674">
        <v>1506</v>
      </c>
      <c r="Q25" s="673">
        <v>1506</v>
      </c>
      <c r="R25" s="1300" t="s">
        <v>31</v>
      </c>
    </row>
    <row r="26" spans="1:18" s="669" customFormat="1" ht="18" customHeight="1">
      <c r="A26" s="1298">
        <v>20</v>
      </c>
      <c r="B26" s="672" t="s">
        <v>164</v>
      </c>
      <c r="C26" s="675">
        <v>99843</v>
      </c>
      <c r="D26" s="675">
        <v>99843</v>
      </c>
      <c r="E26" s="675">
        <v>99843</v>
      </c>
      <c r="F26" s="673"/>
      <c r="G26" s="673">
        <v>5274</v>
      </c>
      <c r="H26" s="673">
        <v>5274</v>
      </c>
      <c r="I26" s="673"/>
      <c r="J26" s="673">
        <v>18479</v>
      </c>
      <c r="K26" s="673">
        <v>19109</v>
      </c>
      <c r="L26" s="673"/>
      <c r="M26" s="673">
        <v>10308</v>
      </c>
      <c r="N26" s="673">
        <v>10729</v>
      </c>
      <c r="O26" s="673"/>
      <c r="P26" s="674">
        <v>2321.52</v>
      </c>
      <c r="Q26" s="673">
        <v>2321.52</v>
      </c>
      <c r="R26" s="1300" t="s">
        <v>9</v>
      </c>
    </row>
    <row r="27" spans="1:18" s="669" customFormat="1" ht="18" customHeight="1">
      <c r="A27" s="1298">
        <v>21</v>
      </c>
      <c r="B27" s="672" t="s">
        <v>165</v>
      </c>
      <c r="C27" s="675">
        <v>17495</v>
      </c>
      <c r="D27" s="675">
        <v>17495</v>
      </c>
      <c r="E27" s="675">
        <v>17495</v>
      </c>
      <c r="F27" s="673"/>
      <c r="G27" s="673">
        <v>8626</v>
      </c>
      <c r="H27" s="673">
        <v>8626</v>
      </c>
      <c r="I27" s="673"/>
      <c r="J27" s="673">
        <v>43508</v>
      </c>
      <c r="K27" s="673">
        <v>43758</v>
      </c>
      <c r="L27" s="673"/>
      <c r="M27" s="673">
        <v>11079</v>
      </c>
      <c r="N27" s="673">
        <v>17041</v>
      </c>
      <c r="O27" s="673"/>
      <c r="P27" s="674">
        <v>2066</v>
      </c>
      <c r="Q27" s="673">
        <v>2066</v>
      </c>
      <c r="R27" s="1300" t="s">
        <v>32</v>
      </c>
    </row>
    <row r="28" spans="1:18" s="669" customFormat="1" ht="18" customHeight="1">
      <c r="A28" s="1298">
        <v>22</v>
      </c>
      <c r="B28" s="672" t="s">
        <v>166</v>
      </c>
      <c r="C28" s="675">
        <v>225851</v>
      </c>
      <c r="D28" s="675">
        <v>225851</v>
      </c>
      <c r="E28" s="675">
        <v>225851</v>
      </c>
      <c r="F28" s="673"/>
      <c r="G28" s="673">
        <v>187968</v>
      </c>
      <c r="H28" s="673">
        <v>187968</v>
      </c>
      <c r="I28" s="673"/>
      <c r="J28" s="673">
        <v>8669</v>
      </c>
      <c r="K28" s="673">
        <v>8934</v>
      </c>
      <c r="L28" s="673"/>
      <c r="M28" s="673">
        <v>75748</v>
      </c>
      <c r="N28" s="673">
        <v>109345</v>
      </c>
      <c r="O28" s="673"/>
      <c r="P28" s="674">
        <v>30449</v>
      </c>
      <c r="Q28" s="673">
        <v>30449</v>
      </c>
      <c r="R28" s="1300" t="s">
        <v>33</v>
      </c>
    </row>
    <row r="29" spans="1:18" s="669" customFormat="1" ht="18" customHeight="1">
      <c r="A29" s="1298">
        <v>23</v>
      </c>
      <c r="B29" s="672" t="s">
        <v>167</v>
      </c>
      <c r="C29" s="675">
        <v>23300</v>
      </c>
      <c r="D29" s="675">
        <v>45200</v>
      </c>
      <c r="E29" s="675">
        <v>45200</v>
      </c>
      <c r="F29" s="673"/>
      <c r="G29" s="673">
        <v>15059</v>
      </c>
      <c r="H29" s="673">
        <v>15059</v>
      </c>
      <c r="I29" s="673"/>
      <c r="J29" s="673">
        <v>504</v>
      </c>
      <c r="K29" s="673">
        <v>504</v>
      </c>
      <c r="L29" s="673"/>
      <c r="M29" s="673">
        <v>0</v>
      </c>
      <c r="N29" s="673">
        <v>0</v>
      </c>
      <c r="O29" s="673"/>
      <c r="P29" s="674">
        <v>850</v>
      </c>
      <c r="Q29" s="673">
        <v>850</v>
      </c>
      <c r="R29" s="1300" t="s">
        <v>20</v>
      </c>
    </row>
    <row r="30" spans="1:18" s="669" customFormat="1" ht="18" customHeight="1">
      <c r="A30" s="1298">
        <v>24</v>
      </c>
      <c r="B30" s="672" t="s">
        <v>168</v>
      </c>
      <c r="C30" s="675">
        <v>16818</v>
      </c>
      <c r="D30" s="675">
        <v>16818</v>
      </c>
      <c r="E30" s="675">
        <v>16818</v>
      </c>
      <c r="F30" s="673"/>
      <c r="G30" s="673">
        <v>298641</v>
      </c>
      <c r="H30" s="673">
        <v>298641</v>
      </c>
      <c r="I30" s="673"/>
      <c r="J30" s="673">
        <v>41121</v>
      </c>
      <c r="K30" s="673">
        <v>41419</v>
      </c>
      <c r="L30" s="673"/>
      <c r="M30" s="673">
        <v>6646</v>
      </c>
      <c r="N30" s="673">
        <v>8063</v>
      </c>
      <c r="O30" s="673"/>
      <c r="P30" s="674">
        <v>13052.6</v>
      </c>
      <c r="Q30" s="673">
        <v>13052.6</v>
      </c>
      <c r="R30" s="1300" t="s">
        <v>12</v>
      </c>
    </row>
    <row r="31" spans="1:18" s="669" customFormat="1" ht="18" customHeight="1">
      <c r="A31" s="1298">
        <v>25</v>
      </c>
      <c r="B31" s="672" t="s">
        <v>169</v>
      </c>
      <c r="C31" s="675">
        <v>0</v>
      </c>
      <c r="D31" s="675">
        <v>142000</v>
      </c>
      <c r="E31" s="675">
        <v>142000</v>
      </c>
      <c r="F31" s="673"/>
      <c r="G31" s="673">
        <v>0</v>
      </c>
      <c r="H31" s="673">
        <v>0</v>
      </c>
      <c r="I31" s="673"/>
      <c r="J31" s="673">
        <v>2458</v>
      </c>
      <c r="K31" s="673">
        <v>2458</v>
      </c>
      <c r="L31" s="673"/>
      <c r="M31" s="673">
        <v>424</v>
      </c>
      <c r="N31" s="673">
        <v>424</v>
      </c>
      <c r="O31" s="673"/>
      <c r="P31" s="674">
        <v>7450</v>
      </c>
      <c r="Q31" s="673">
        <v>7450</v>
      </c>
      <c r="R31" s="1300" t="s">
        <v>39</v>
      </c>
    </row>
    <row r="32" spans="1:18" s="669" customFormat="1" ht="18" customHeight="1">
      <c r="A32" s="1298">
        <v>26</v>
      </c>
      <c r="B32" s="672" t="s">
        <v>170</v>
      </c>
      <c r="C32" s="675">
        <v>64282</v>
      </c>
      <c r="D32" s="675">
        <v>364012</v>
      </c>
      <c r="E32" s="675">
        <v>364012</v>
      </c>
      <c r="F32" s="673"/>
      <c r="G32" s="673">
        <v>32723</v>
      </c>
      <c r="H32" s="673">
        <v>32723</v>
      </c>
      <c r="I32" s="673"/>
      <c r="J32" s="673">
        <v>15177</v>
      </c>
      <c r="K32" s="673">
        <v>15517</v>
      </c>
      <c r="L32" s="673"/>
      <c r="M32" s="673">
        <v>572</v>
      </c>
      <c r="N32" s="673">
        <v>1756</v>
      </c>
      <c r="O32" s="673"/>
      <c r="P32" s="674">
        <v>867</v>
      </c>
      <c r="Q32" s="673">
        <v>867</v>
      </c>
      <c r="R32" s="1300" t="s">
        <v>34</v>
      </c>
    </row>
    <row r="33" spans="1:18" s="669" customFormat="1" ht="18" customHeight="1" thickBot="1">
      <c r="A33" s="1650">
        <v>27</v>
      </c>
      <c r="B33" s="1651" t="s">
        <v>171</v>
      </c>
      <c r="C33" s="1652">
        <v>2284425</v>
      </c>
      <c r="D33" s="1652">
        <v>2351205</v>
      </c>
      <c r="E33" s="1652">
        <v>2351205</v>
      </c>
      <c r="F33" s="1653"/>
      <c r="G33" s="1653">
        <v>235909</v>
      </c>
      <c r="H33" s="1653">
        <v>235909</v>
      </c>
      <c r="I33" s="1653"/>
      <c r="J33" s="1653">
        <v>297961</v>
      </c>
      <c r="K33" s="1653">
        <v>302532</v>
      </c>
      <c r="L33" s="1653"/>
      <c r="M33" s="1653">
        <v>35492</v>
      </c>
      <c r="N33" s="1653">
        <v>43885</v>
      </c>
      <c r="O33" s="1653"/>
      <c r="P33" s="1654">
        <v>10638.31</v>
      </c>
      <c r="Q33" s="1653">
        <v>10638.31</v>
      </c>
      <c r="R33" s="1655" t="s">
        <v>35</v>
      </c>
    </row>
    <row r="34" spans="1:18" s="669" customFormat="1" ht="18" customHeight="1" thickTop="1">
      <c r="A34" s="1644">
        <v>28</v>
      </c>
      <c r="B34" s="1645" t="s">
        <v>172</v>
      </c>
      <c r="C34" s="1646">
        <v>163386</v>
      </c>
      <c r="D34" s="1646">
        <v>165071</v>
      </c>
      <c r="E34" s="1646">
        <v>165071</v>
      </c>
      <c r="F34" s="1647"/>
      <c r="G34" s="1647">
        <v>91595</v>
      </c>
      <c r="H34" s="1647">
        <v>91595</v>
      </c>
      <c r="I34" s="1647"/>
      <c r="J34" s="1647">
        <v>43723</v>
      </c>
      <c r="K34" s="1647">
        <v>43803</v>
      </c>
      <c r="L34" s="1647"/>
      <c r="M34" s="1647">
        <v>26</v>
      </c>
      <c r="N34" s="1647">
        <v>342</v>
      </c>
      <c r="O34" s="1647"/>
      <c r="P34" s="1648">
        <v>4059.53</v>
      </c>
      <c r="Q34" s="1647">
        <v>4059.53</v>
      </c>
      <c r="R34" s="1649" t="s">
        <v>36</v>
      </c>
    </row>
    <row r="35" spans="1:18" s="669" customFormat="1" ht="18" customHeight="1">
      <c r="A35" s="1298">
        <v>29</v>
      </c>
      <c r="B35" s="676" t="s">
        <v>173</v>
      </c>
      <c r="C35" s="675">
        <v>17662</v>
      </c>
      <c r="D35" s="675">
        <v>17662</v>
      </c>
      <c r="E35" s="675">
        <v>17662</v>
      </c>
      <c r="F35" s="673"/>
      <c r="G35" s="673">
        <v>145332</v>
      </c>
      <c r="H35" s="673">
        <v>145332</v>
      </c>
      <c r="I35" s="673"/>
      <c r="J35" s="673">
        <v>17894</v>
      </c>
      <c r="K35" s="673">
        <v>18203</v>
      </c>
      <c r="L35" s="673"/>
      <c r="M35" s="673">
        <v>653</v>
      </c>
      <c r="N35" s="673">
        <v>653</v>
      </c>
      <c r="O35" s="673"/>
      <c r="P35" s="674">
        <v>1730</v>
      </c>
      <c r="Q35" s="673">
        <v>1730</v>
      </c>
      <c r="R35" s="1301" t="s">
        <v>37</v>
      </c>
    </row>
    <row r="36" spans="1:18" s="669" customFormat="1" ht="32.25" customHeight="1">
      <c r="A36" s="1298">
        <v>30</v>
      </c>
      <c r="B36" s="676" t="s">
        <v>1182</v>
      </c>
      <c r="C36" s="675">
        <v>6296</v>
      </c>
      <c r="D36" s="675">
        <v>6296</v>
      </c>
      <c r="E36" s="675">
        <v>6296</v>
      </c>
      <c r="F36" s="673"/>
      <c r="G36" s="673">
        <v>468</v>
      </c>
      <c r="H36" s="673">
        <v>468</v>
      </c>
      <c r="I36" s="673"/>
      <c r="J36" s="673">
        <v>1490</v>
      </c>
      <c r="K36" s="673">
        <v>1490</v>
      </c>
      <c r="L36" s="673"/>
      <c r="M36" s="673">
        <v>5</v>
      </c>
      <c r="N36" s="673">
        <v>5</v>
      </c>
      <c r="O36" s="673"/>
      <c r="P36" s="674">
        <v>167</v>
      </c>
      <c r="Q36" s="673">
        <v>167</v>
      </c>
      <c r="R36" s="1301" t="s">
        <v>272</v>
      </c>
    </row>
    <row r="37" spans="1:18" s="669" customFormat="1" ht="18" customHeight="1">
      <c r="A37" s="1298">
        <v>31</v>
      </c>
      <c r="B37" s="672" t="s">
        <v>175</v>
      </c>
      <c r="C37" s="675">
        <v>1675</v>
      </c>
      <c r="D37" s="675">
        <v>1675</v>
      </c>
      <c r="E37" s="675">
        <v>1675</v>
      </c>
      <c r="F37" s="673"/>
      <c r="G37" s="673">
        <v>275</v>
      </c>
      <c r="H37" s="673">
        <v>275</v>
      </c>
      <c r="I37" s="673"/>
      <c r="J37" s="673">
        <v>901</v>
      </c>
      <c r="K37" s="673">
        <v>901</v>
      </c>
      <c r="L37" s="673"/>
      <c r="M37" s="673">
        <v>12</v>
      </c>
      <c r="N37" s="673">
        <v>12</v>
      </c>
      <c r="O37" s="673"/>
      <c r="P37" s="674">
        <v>730</v>
      </c>
      <c r="Q37" s="673">
        <v>730</v>
      </c>
      <c r="R37" s="1300" t="s">
        <v>38</v>
      </c>
    </row>
    <row r="38" spans="1:18" s="669" customFormat="1" ht="18" customHeight="1">
      <c r="A38" s="1298">
        <v>32</v>
      </c>
      <c r="B38" s="672" t="s">
        <v>176</v>
      </c>
      <c r="C38" s="675">
        <v>0</v>
      </c>
      <c r="D38" s="675">
        <v>0</v>
      </c>
      <c r="E38" s="675">
        <v>0</v>
      </c>
      <c r="F38" s="673"/>
      <c r="G38" s="673">
        <v>0</v>
      </c>
      <c r="H38" s="673">
        <v>0</v>
      </c>
      <c r="I38" s="673"/>
      <c r="J38" s="673">
        <v>0</v>
      </c>
      <c r="K38" s="673">
        <v>0</v>
      </c>
      <c r="L38" s="673"/>
      <c r="M38" s="673">
        <v>0</v>
      </c>
      <c r="N38" s="673">
        <v>0</v>
      </c>
      <c r="O38" s="673"/>
      <c r="P38" s="674">
        <v>0</v>
      </c>
      <c r="Q38" s="673">
        <v>0</v>
      </c>
      <c r="R38" s="1302" t="s">
        <v>1331</v>
      </c>
    </row>
    <row r="39" spans="1:18" s="669" customFormat="1" ht="18" customHeight="1">
      <c r="A39" s="1298">
        <v>33</v>
      </c>
      <c r="B39" s="672" t="s">
        <v>1330</v>
      </c>
      <c r="C39" s="675">
        <v>0</v>
      </c>
      <c r="D39" s="675">
        <v>0</v>
      </c>
      <c r="E39" s="675">
        <v>0</v>
      </c>
      <c r="F39" s="673"/>
      <c r="G39" s="673">
        <v>0</v>
      </c>
      <c r="H39" s="673">
        <v>0</v>
      </c>
      <c r="I39" s="673"/>
      <c r="J39" s="673">
        <v>0</v>
      </c>
      <c r="K39" s="673">
        <v>0</v>
      </c>
      <c r="L39" s="673"/>
      <c r="M39" s="673">
        <v>0</v>
      </c>
      <c r="N39" s="673">
        <v>0</v>
      </c>
      <c r="O39" s="673"/>
      <c r="P39" s="674">
        <v>0</v>
      </c>
      <c r="Q39" s="673">
        <v>0</v>
      </c>
      <c r="R39" s="1302" t="s">
        <v>4</v>
      </c>
    </row>
    <row r="40" spans="1:18" s="669" customFormat="1" ht="18" customHeight="1">
      <c r="A40" s="1298">
        <v>34</v>
      </c>
      <c r="B40" s="672" t="s">
        <v>149</v>
      </c>
      <c r="C40" s="675">
        <v>4807</v>
      </c>
      <c r="D40" s="675">
        <v>4807</v>
      </c>
      <c r="E40" s="675">
        <v>4807</v>
      </c>
      <c r="F40" s="673"/>
      <c r="G40" s="673">
        <v>0</v>
      </c>
      <c r="H40" s="673">
        <v>0</v>
      </c>
      <c r="I40" s="673"/>
      <c r="J40" s="673">
        <v>301</v>
      </c>
      <c r="K40" s="673">
        <v>301</v>
      </c>
      <c r="L40" s="673"/>
      <c r="M40" s="673">
        <v>90</v>
      </c>
      <c r="N40" s="673">
        <v>90</v>
      </c>
      <c r="O40" s="673"/>
      <c r="P40" s="674">
        <v>1269</v>
      </c>
      <c r="Q40" s="673">
        <v>1269</v>
      </c>
      <c r="R40" s="1302" t="s">
        <v>24</v>
      </c>
    </row>
    <row r="41" spans="1:18" s="669" customFormat="1" ht="18" customHeight="1">
      <c r="A41" s="1298">
        <v>35</v>
      </c>
      <c r="B41" s="672" t="s">
        <v>178</v>
      </c>
      <c r="C41" s="675">
        <v>5289</v>
      </c>
      <c r="D41" s="675">
        <v>5289</v>
      </c>
      <c r="E41" s="675">
        <v>5289</v>
      </c>
      <c r="F41" s="673"/>
      <c r="G41" s="673">
        <v>600</v>
      </c>
      <c r="H41" s="673">
        <v>600</v>
      </c>
      <c r="I41" s="673"/>
      <c r="J41" s="673">
        <v>4465</v>
      </c>
      <c r="K41" s="673">
        <v>4465</v>
      </c>
      <c r="L41" s="673"/>
      <c r="M41" s="673">
        <v>0</v>
      </c>
      <c r="N41" s="673">
        <v>0</v>
      </c>
      <c r="O41" s="673"/>
      <c r="P41" s="674">
        <v>2190</v>
      </c>
      <c r="Q41" s="673">
        <v>2190</v>
      </c>
      <c r="R41" s="1300" t="s">
        <v>7</v>
      </c>
    </row>
    <row r="42" spans="1:18" s="669" customFormat="1" ht="18" customHeight="1">
      <c r="A42" s="1298">
        <v>36</v>
      </c>
      <c r="B42" s="672" t="s">
        <v>179</v>
      </c>
      <c r="C42" s="675">
        <v>1637</v>
      </c>
      <c r="D42" s="675">
        <v>1637</v>
      </c>
      <c r="E42" s="675">
        <v>1637</v>
      </c>
      <c r="F42" s="673"/>
      <c r="G42" s="673">
        <v>25</v>
      </c>
      <c r="H42" s="673">
        <v>25</v>
      </c>
      <c r="I42" s="673"/>
      <c r="J42" s="673">
        <v>417</v>
      </c>
      <c r="K42" s="673">
        <v>417</v>
      </c>
      <c r="L42" s="673"/>
      <c r="M42" s="673">
        <v>21</v>
      </c>
      <c r="N42" s="673">
        <v>21</v>
      </c>
      <c r="O42" s="673"/>
      <c r="P42" s="674">
        <v>121</v>
      </c>
      <c r="Q42" s="673">
        <v>121</v>
      </c>
      <c r="R42" s="1300" t="s">
        <v>10</v>
      </c>
    </row>
    <row r="43" spans="1:18" s="669" customFormat="1" ht="18" customHeight="1">
      <c r="A43" s="1298">
        <v>37</v>
      </c>
      <c r="B43" s="672" t="s">
        <v>1329</v>
      </c>
      <c r="C43" s="675">
        <v>125797</v>
      </c>
      <c r="D43" s="675">
        <v>125797</v>
      </c>
      <c r="E43" s="675">
        <v>125797</v>
      </c>
      <c r="F43" s="673"/>
      <c r="G43" s="673">
        <v>140273</v>
      </c>
      <c r="H43" s="673">
        <v>140273</v>
      </c>
      <c r="I43" s="673"/>
      <c r="J43" s="673">
        <v>9150</v>
      </c>
      <c r="K43" s="673">
        <v>9150</v>
      </c>
      <c r="L43" s="673"/>
      <c r="M43" s="673">
        <v>4621</v>
      </c>
      <c r="N43" s="673">
        <v>4621</v>
      </c>
      <c r="O43" s="673"/>
      <c r="P43" s="674">
        <v>23885</v>
      </c>
      <c r="Q43" s="673">
        <v>23885</v>
      </c>
      <c r="R43" s="1300" t="s">
        <v>137</v>
      </c>
    </row>
    <row r="44" spans="1:18" s="669" customFormat="1" ht="18" customHeight="1">
      <c r="A44" s="1298"/>
      <c r="B44" s="670" t="s">
        <v>180</v>
      </c>
      <c r="C44" s="671">
        <f>SUM(C7:C43)</f>
        <v>7426531</v>
      </c>
      <c r="D44" s="671">
        <f>SUM(D7:D43)</f>
        <v>8459119</v>
      </c>
      <c r="E44" s="671">
        <f>SUM(E7:E43)</f>
        <v>8459119</v>
      </c>
      <c r="F44" s="671"/>
      <c r="G44" s="671">
        <f>SUM(G7:G43)</f>
        <v>1723479</v>
      </c>
      <c r="H44" s="671">
        <f>SUM(H7:H43)</f>
        <v>1723479</v>
      </c>
      <c r="I44" s="671"/>
      <c r="J44" s="671">
        <f>SUM(J7:J43)</f>
        <v>934941</v>
      </c>
      <c r="K44" s="671">
        <f>SUM(K7:K43)</f>
        <v>944802</v>
      </c>
      <c r="L44" s="671"/>
      <c r="M44" s="671">
        <f>SUM(M7:M43)</f>
        <v>349781</v>
      </c>
      <c r="N44" s="671">
        <f>SUM(N7:N43)</f>
        <v>516083</v>
      </c>
      <c r="O44" s="671"/>
      <c r="P44" s="671">
        <f>SUM(P7:P43)</f>
        <v>216862.68</v>
      </c>
      <c r="Q44" s="671">
        <f>SUM(Q7:Q43)</f>
        <v>216862.68</v>
      </c>
      <c r="R44" s="1303" t="s">
        <v>0</v>
      </c>
    </row>
    <row r="45" spans="1:18" s="669" customFormat="1" ht="17.25" customHeight="1">
      <c r="A45" s="682" t="s">
        <v>1328</v>
      </c>
      <c r="R45" s="699"/>
    </row>
    <row r="46" spans="1:18" ht="15" hidden="1" customHeight="1">
      <c r="A46" s="1304"/>
      <c r="R46" s="1305"/>
    </row>
    <row r="47" spans="1:18" ht="15.75" thickBot="1">
      <c r="A47" s="1306" t="s">
        <v>1327</v>
      </c>
      <c r="B47" s="1307"/>
      <c r="C47" s="1307"/>
      <c r="D47" s="1307"/>
      <c r="E47" s="1307"/>
      <c r="F47" s="1307"/>
      <c r="G47" s="1307"/>
      <c r="H47" s="1307"/>
      <c r="I47" s="1307"/>
      <c r="J47" s="1307"/>
      <c r="K47" s="1307"/>
      <c r="L47" s="1307"/>
      <c r="M47" s="1307"/>
      <c r="N47" s="1307"/>
      <c r="O47" s="1307"/>
      <c r="P47" s="1307"/>
      <c r="Q47" s="1307"/>
      <c r="R47" s="1308"/>
    </row>
    <row r="48" spans="1:18" ht="15.75" thickTop="1"/>
    <row r="58" spans="3:3">
      <c r="C58" s="668" t="s">
        <v>1326</v>
      </c>
    </row>
  </sheetData>
  <mergeCells count="12">
    <mergeCell ref="A1:R1"/>
    <mergeCell ref="A2:R2"/>
    <mergeCell ref="I3:R3"/>
    <mergeCell ref="A4:A6"/>
    <mergeCell ref="B4:B6"/>
    <mergeCell ref="C4:Q4"/>
    <mergeCell ref="R4:R6"/>
    <mergeCell ref="C6:E6"/>
    <mergeCell ref="F6:H6"/>
    <mergeCell ref="I6:K6"/>
    <mergeCell ref="L6:N6"/>
    <mergeCell ref="O6:Q6"/>
  </mergeCells>
  <conditionalFormatting sqref="T7:XFD44 A7:R44">
    <cfRule type="expression" dxfId="86" priority="1">
      <formula>MOD(ROW(),3)=1</formula>
    </cfRule>
  </conditionalFormatting>
  <hyperlinks>
    <hyperlink ref="C58" r:id="rId1" xr:uid="{52F7F5EB-4B30-486D-970C-CD122E8870B7}"/>
  </hyperlinks>
  <printOptions horizontalCentered="1"/>
  <pageMargins left="0.19685039370078741" right="0.19685039370078741" top="0.51181102362204722" bottom="0.39370078740157483" header="0.31496062992125984" footer="0.31496062992125984"/>
  <pageSetup paperSize="9" scale="80" fitToHeight="0" orientation="landscape"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635EE-5F85-49D0-9EA7-D9DE8A56F73A}">
  <sheetPr>
    <pageSetUpPr fitToPage="1"/>
  </sheetPr>
  <dimension ref="A1:AA48"/>
  <sheetViews>
    <sheetView view="pageBreakPreview" topLeftCell="M1" zoomScaleSheetLayoutView="100" workbookViewId="0">
      <selection activeCell="S17" sqref="S17"/>
    </sheetView>
  </sheetViews>
  <sheetFormatPr defaultColWidth="9" defaultRowHeight="15"/>
  <cols>
    <col min="1" max="1" width="7.85546875" style="683" hidden="1" customWidth="1"/>
    <col min="2" max="2" width="20.140625" style="667" hidden="1" customWidth="1"/>
    <col min="3" max="3" width="12.42578125" style="667" hidden="1" customWidth="1"/>
    <col min="4" max="4" width="11.7109375" style="667" hidden="1" customWidth="1"/>
    <col min="5" max="5" width="12" style="667" hidden="1" customWidth="1"/>
    <col min="6" max="6" width="17.28515625" style="667" hidden="1" customWidth="1"/>
    <col min="7" max="7" width="11" style="667" hidden="1" customWidth="1"/>
    <col min="8" max="8" width="14.28515625" style="667" hidden="1" customWidth="1"/>
    <col min="9" max="9" width="15.28515625" style="667" hidden="1" customWidth="1"/>
    <col min="10" max="10" width="11.28515625" style="667" hidden="1" customWidth="1"/>
    <col min="11" max="11" width="15.42578125" style="667" hidden="1" customWidth="1"/>
    <col min="12" max="12" width="22.5703125" style="667" hidden="1" customWidth="1"/>
    <col min="13" max="13" width="9" style="667"/>
    <col min="14" max="14" width="20.7109375" style="667" customWidth="1"/>
    <col min="15" max="19" width="11.7109375" style="667" customWidth="1"/>
    <col min="20" max="20" width="12.7109375" style="667" customWidth="1"/>
    <col min="21" max="22" width="11.7109375" style="667" hidden="1" customWidth="1"/>
    <col min="23" max="23" width="20.7109375" style="667" customWidth="1"/>
    <col min="24" max="16384" width="9" style="667"/>
  </cols>
  <sheetData>
    <row r="1" spans="1:23" s="669" customFormat="1" ht="24" customHeight="1" thickTop="1">
      <c r="A1" s="2118" t="s">
        <v>1389</v>
      </c>
      <c r="B1" s="2118"/>
      <c r="C1" s="2118"/>
      <c r="D1" s="2118"/>
      <c r="E1" s="2118"/>
      <c r="F1" s="2118"/>
      <c r="G1" s="2118"/>
      <c r="H1" s="2118"/>
      <c r="I1" s="2118"/>
      <c r="J1" s="2118"/>
      <c r="K1" s="2118"/>
      <c r="L1" s="2118"/>
      <c r="M1" s="2128" t="s">
        <v>2754</v>
      </c>
      <c r="N1" s="2129"/>
      <c r="O1" s="2129"/>
      <c r="P1" s="2129"/>
      <c r="Q1" s="2129"/>
      <c r="R1" s="2129"/>
      <c r="S1" s="2129"/>
      <c r="T1" s="2129"/>
      <c r="U1" s="2129"/>
      <c r="V1" s="2129"/>
      <c r="W1" s="2130"/>
    </row>
    <row r="2" spans="1:23" s="669" customFormat="1" ht="25.5" customHeight="1">
      <c r="A2" s="2118" t="s">
        <v>1388</v>
      </c>
      <c r="B2" s="2118"/>
      <c r="C2" s="2118"/>
      <c r="D2" s="2118"/>
      <c r="E2" s="2118"/>
      <c r="F2" s="2118"/>
      <c r="G2" s="2118"/>
      <c r="H2" s="2118"/>
      <c r="I2" s="2118"/>
      <c r="J2" s="2118"/>
      <c r="K2" s="2118"/>
      <c r="L2" s="2118"/>
      <c r="M2" s="2117" t="s">
        <v>2755</v>
      </c>
      <c r="N2" s="2118"/>
      <c r="O2" s="2118"/>
      <c r="P2" s="2118"/>
      <c r="Q2" s="2118"/>
      <c r="R2" s="2118"/>
      <c r="S2" s="2118"/>
      <c r="T2" s="2118"/>
      <c r="U2" s="2118"/>
      <c r="V2" s="2118"/>
      <c r="W2" s="2119"/>
    </row>
    <row r="3" spans="1:23" s="669" customFormat="1" ht="16.5" customHeight="1">
      <c r="A3" s="681"/>
      <c r="B3" s="681"/>
      <c r="C3" s="681"/>
      <c r="D3" s="681"/>
      <c r="E3" s="681"/>
      <c r="F3" s="698" t="s">
        <v>1387</v>
      </c>
      <c r="H3" s="681"/>
      <c r="I3" s="2131" t="s">
        <v>1386</v>
      </c>
      <c r="J3" s="2131"/>
      <c r="K3" s="2131"/>
      <c r="L3" s="2132"/>
      <c r="M3" s="1296"/>
      <c r="N3" s="681"/>
      <c r="O3" s="681"/>
      <c r="P3" s="681"/>
      <c r="Q3" s="681"/>
      <c r="S3" s="681"/>
      <c r="T3" s="2131" t="s">
        <v>1385</v>
      </c>
      <c r="U3" s="2131"/>
      <c r="V3" s="2131"/>
      <c r="W3" s="2133"/>
    </row>
    <row r="4" spans="1:23" s="696" customFormat="1" ht="84.75" customHeight="1">
      <c r="A4" s="679" t="s">
        <v>520</v>
      </c>
      <c r="B4" s="679" t="s">
        <v>1368</v>
      </c>
      <c r="C4" s="679" t="s">
        <v>1384</v>
      </c>
      <c r="D4" s="679" t="s">
        <v>1383</v>
      </c>
      <c r="E4" s="679" t="s">
        <v>1382</v>
      </c>
      <c r="F4" s="679" t="s">
        <v>1381</v>
      </c>
      <c r="G4" s="679" t="s">
        <v>1380</v>
      </c>
      <c r="H4" s="679" t="s">
        <v>1379</v>
      </c>
      <c r="I4" s="679" t="s">
        <v>1378</v>
      </c>
      <c r="J4" s="679" t="s">
        <v>1370</v>
      </c>
      <c r="K4" s="679" t="s">
        <v>1369</v>
      </c>
      <c r="L4" s="697" t="s">
        <v>1377</v>
      </c>
      <c r="M4" s="1310" t="s">
        <v>686</v>
      </c>
      <c r="N4" s="679" t="s">
        <v>1377</v>
      </c>
      <c r="O4" s="679" t="s">
        <v>1376</v>
      </c>
      <c r="P4" s="679" t="s">
        <v>1375</v>
      </c>
      <c r="Q4" s="679" t="s">
        <v>1374</v>
      </c>
      <c r="R4" s="679" t="s">
        <v>1373</v>
      </c>
      <c r="S4" s="679" t="s">
        <v>1372</v>
      </c>
      <c r="T4" s="679" t="s">
        <v>1371</v>
      </c>
      <c r="U4" s="679" t="s">
        <v>1370</v>
      </c>
      <c r="V4" s="679" t="s">
        <v>1369</v>
      </c>
      <c r="W4" s="1311" t="s">
        <v>1368</v>
      </c>
    </row>
    <row r="5" spans="1:23" s="669" customFormat="1" ht="21" customHeight="1">
      <c r="A5" s="685">
        <v>1</v>
      </c>
      <c r="B5" s="672" t="s">
        <v>1343</v>
      </c>
      <c r="C5" s="695">
        <v>44229</v>
      </c>
      <c r="D5" s="695">
        <v>409.32</v>
      </c>
      <c r="E5" s="694">
        <v>578</v>
      </c>
      <c r="F5" s="694">
        <v>300</v>
      </c>
      <c r="G5" s="694">
        <v>123</v>
      </c>
      <c r="H5" s="694">
        <v>38440</v>
      </c>
      <c r="I5" s="694">
        <f t="shared" ref="I5:I18" si="0">SUM(C5:H5)</f>
        <v>84079.32</v>
      </c>
      <c r="J5" s="483">
        <f>SUM(C5:H5)</f>
        <v>84079.32</v>
      </c>
      <c r="K5" s="482">
        <f t="shared" ref="K5:K18" si="1">I5/$I$43*100</f>
        <v>7.6612049281190382</v>
      </c>
      <c r="L5" s="688" t="s">
        <v>144</v>
      </c>
      <c r="M5" s="1309">
        <v>1</v>
      </c>
      <c r="N5" s="677" t="s">
        <v>144</v>
      </c>
      <c r="O5" s="1856">
        <v>74906</v>
      </c>
      <c r="P5" s="1856">
        <v>409.32</v>
      </c>
      <c r="Q5" s="1851">
        <v>878</v>
      </c>
      <c r="R5" s="1856">
        <v>123</v>
      </c>
      <c r="S5" s="1856">
        <v>38440</v>
      </c>
      <c r="T5" s="1851">
        <f t="shared" ref="T5:T42" si="2">O5+P5+Q5+R5+S5</f>
        <v>114756.32</v>
      </c>
      <c r="U5" s="483">
        <f>SUM(O5:S5)</f>
        <v>114756.32</v>
      </c>
      <c r="V5" s="482">
        <f t="shared" ref="V5:V18" si="3">T5/$T$43*100</f>
        <v>7.6980123961293447</v>
      </c>
      <c r="W5" s="1300" t="s">
        <v>1343</v>
      </c>
    </row>
    <row r="6" spans="1:23" s="669" customFormat="1" ht="21" customHeight="1">
      <c r="A6" s="685">
        <v>2</v>
      </c>
      <c r="B6" s="672" t="s">
        <v>1024</v>
      </c>
      <c r="C6" s="695"/>
      <c r="D6" s="695">
        <v>2064.92</v>
      </c>
      <c r="E6" s="694">
        <v>8</v>
      </c>
      <c r="F6" s="694">
        <v>0</v>
      </c>
      <c r="G6" s="694">
        <v>0</v>
      </c>
      <c r="H6" s="694">
        <v>8650</v>
      </c>
      <c r="I6" s="694">
        <f t="shared" si="0"/>
        <v>10722.92</v>
      </c>
      <c r="J6" s="483">
        <v>1585</v>
      </c>
      <c r="K6" s="482">
        <f t="shared" si="1"/>
        <v>0.97705937141054655</v>
      </c>
      <c r="L6" s="687" t="s">
        <v>145</v>
      </c>
      <c r="M6" s="1309">
        <v>2</v>
      </c>
      <c r="N6" s="672" t="s">
        <v>145</v>
      </c>
      <c r="O6" s="1856">
        <v>274</v>
      </c>
      <c r="P6" s="1856">
        <v>2064.92</v>
      </c>
      <c r="Q6" s="1851">
        <v>8</v>
      </c>
      <c r="R6" s="1856"/>
      <c r="S6" s="1856">
        <v>8650</v>
      </c>
      <c r="T6" s="1851">
        <f t="shared" si="2"/>
        <v>10996.92</v>
      </c>
      <c r="U6" s="483">
        <v>1585</v>
      </c>
      <c r="V6" s="482">
        <f t="shared" si="3"/>
        <v>0.73768857766825136</v>
      </c>
      <c r="W6" s="1300" t="s">
        <v>1024</v>
      </c>
    </row>
    <row r="7" spans="1:23" s="669" customFormat="1" ht="21" customHeight="1">
      <c r="A7" s="685">
        <v>3</v>
      </c>
      <c r="B7" s="672" t="s">
        <v>1367</v>
      </c>
      <c r="C7" s="695"/>
      <c r="D7" s="695">
        <v>201.99</v>
      </c>
      <c r="E7" s="694">
        <v>212</v>
      </c>
      <c r="F7" s="694">
        <v>0</v>
      </c>
      <c r="G7" s="694">
        <v>8</v>
      </c>
      <c r="H7" s="694">
        <v>13760</v>
      </c>
      <c r="I7" s="694">
        <f t="shared" si="0"/>
        <v>14181.99</v>
      </c>
      <c r="J7" s="483">
        <v>571</v>
      </c>
      <c r="K7" s="482">
        <f t="shared" si="1"/>
        <v>1.2922456042524475</v>
      </c>
      <c r="L7" s="687" t="s">
        <v>146</v>
      </c>
      <c r="M7" s="1309">
        <v>3</v>
      </c>
      <c r="N7" s="672" t="s">
        <v>146</v>
      </c>
      <c r="O7" s="1852">
        <v>246</v>
      </c>
      <c r="P7" s="1852">
        <v>201.99</v>
      </c>
      <c r="Q7" s="1852">
        <v>212</v>
      </c>
      <c r="R7" s="1852">
        <v>8</v>
      </c>
      <c r="S7" s="1852">
        <v>13760</v>
      </c>
      <c r="T7" s="1851">
        <f t="shared" si="2"/>
        <v>14427.99</v>
      </c>
      <c r="U7" s="483">
        <v>571</v>
      </c>
      <c r="V7" s="482">
        <f t="shared" si="3"/>
        <v>0.96784949074029403</v>
      </c>
      <c r="W7" s="1300" t="s">
        <v>1367</v>
      </c>
    </row>
    <row r="8" spans="1:23" s="669" customFormat="1" ht="21" customHeight="1">
      <c r="A8" s="685">
        <v>4</v>
      </c>
      <c r="B8" s="672" t="s">
        <v>1142</v>
      </c>
      <c r="C8" s="695"/>
      <c r="D8" s="695">
        <v>526.98</v>
      </c>
      <c r="E8" s="694">
        <v>619</v>
      </c>
      <c r="F8" s="694">
        <v>300</v>
      </c>
      <c r="G8" s="694">
        <v>73</v>
      </c>
      <c r="H8" s="694">
        <v>11200</v>
      </c>
      <c r="I8" s="694">
        <f t="shared" si="0"/>
        <v>12718.98</v>
      </c>
      <c r="J8" s="483">
        <v>1359</v>
      </c>
      <c r="K8" s="482">
        <f t="shared" si="1"/>
        <v>1.1589379202477788</v>
      </c>
      <c r="L8" s="687" t="s">
        <v>147</v>
      </c>
      <c r="M8" s="1309">
        <v>4</v>
      </c>
      <c r="N8" s="672" t="s">
        <v>147</v>
      </c>
      <c r="O8" s="1856">
        <v>3650</v>
      </c>
      <c r="P8" s="1856">
        <v>526.98</v>
      </c>
      <c r="Q8" s="1851">
        <v>919</v>
      </c>
      <c r="R8" s="1856">
        <v>73</v>
      </c>
      <c r="S8" s="1856">
        <v>11200</v>
      </c>
      <c r="T8" s="1851">
        <f t="shared" si="2"/>
        <v>16368.98</v>
      </c>
      <c r="U8" s="483">
        <v>1359</v>
      </c>
      <c r="V8" s="482">
        <f t="shared" si="3"/>
        <v>1.0980537799747614</v>
      </c>
      <c r="W8" s="1300" t="s">
        <v>1142</v>
      </c>
    </row>
    <row r="9" spans="1:23" s="669" customFormat="1" ht="21" customHeight="1">
      <c r="A9" s="685">
        <v>5</v>
      </c>
      <c r="B9" s="672" t="s">
        <v>857</v>
      </c>
      <c r="C9" s="695">
        <v>77</v>
      </c>
      <c r="D9" s="695">
        <v>1098.2</v>
      </c>
      <c r="E9" s="694">
        <v>236</v>
      </c>
      <c r="F9" s="694">
        <v>0</v>
      </c>
      <c r="G9" s="694">
        <v>24</v>
      </c>
      <c r="H9" s="694">
        <v>18270</v>
      </c>
      <c r="I9" s="694">
        <f t="shared" si="0"/>
        <v>19705.2</v>
      </c>
      <c r="J9" s="483">
        <v>1681</v>
      </c>
      <c r="K9" s="482">
        <f t="shared" si="1"/>
        <v>1.7955137523658762</v>
      </c>
      <c r="L9" s="687" t="s">
        <v>148</v>
      </c>
      <c r="M9" s="1309">
        <v>5</v>
      </c>
      <c r="N9" s="672" t="s">
        <v>148</v>
      </c>
      <c r="O9" s="1856">
        <v>348</v>
      </c>
      <c r="P9" s="1856">
        <v>1098.2</v>
      </c>
      <c r="Q9" s="1851">
        <v>236</v>
      </c>
      <c r="R9" s="1856">
        <v>24</v>
      </c>
      <c r="S9" s="1856">
        <v>18270</v>
      </c>
      <c r="T9" s="1851">
        <f t="shared" si="2"/>
        <v>19976.2</v>
      </c>
      <c r="U9" s="483">
        <v>1681</v>
      </c>
      <c r="V9" s="482">
        <f t="shared" si="3"/>
        <v>1.3400310782670533</v>
      </c>
      <c r="W9" s="1300" t="s">
        <v>857</v>
      </c>
    </row>
    <row r="10" spans="1:23" s="669" customFormat="1" ht="21" customHeight="1">
      <c r="A10" s="685">
        <v>6</v>
      </c>
      <c r="B10" s="672" t="s">
        <v>24</v>
      </c>
      <c r="C10" s="695"/>
      <c r="D10" s="695"/>
      <c r="E10" s="694">
        <v>0</v>
      </c>
      <c r="F10" s="694">
        <v>0</v>
      </c>
      <c r="G10" s="694">
        <v>131</v>
      </c>
      <c r="H10" s="694">
        <v>2050</v>
      </c>
      <c r="I10" s="694">
        <f t="shared" si="0"/>
        <v>2181</v>
      </c>
      <c r="J10" s="483">
        <v>131</v>
      </c>
      <c r="K10" s="482">
        <f t="shared" si="1"/>
        <v>0.19873005571676389</v>
      </c>
      <c r="L10" s="687" t="s">
        <v>149</v>
      </c>
      <c r="M10" s="1309">
        <v>6</v>
      </c>
      <c r="N10" s="672" t="s">
        <v>149</v>
      </c>
      <c r="O10" s="1852">
        <v>0</v>
      </c>
      <c r="P10" s="1852">
        <v>0</v>
      </c>
      <c r="Q10" s="1852">
        <v>0</v>
      </c>
      <c r="R10" s="1852">
        <v>131</v>
      </c>
      <c r="S10" s="1852">
        <v>2050</v>
      </c>
      <c r="T10" s="1851">
        <f t="shared" si="2"/>
        <v>2181</v>
      </c>
      <c r="U10" s="483">
        <v>131</v>
      </c>
      <c r="V10" s="482">
        <f t="shared" si="3"/>
        <v>0.14630449142982366</v>
      </c>
      <c r="W10" s="1300" t="s">
        <v>24</v>
      </c>
    </row>
    <row r="11" spans="1:23" s="669" customFormat="1" ht="21" customHeight="1">
      <c r="A11" s="685">
        <v>7</v>
      </c>
      <c r="B11" s="672" t="s">
        <v>16</v>
      </c>
      <c r="C11" s="695">
        <v>1</v>
      </c>
      <c r="D11" s="695">
        <v>4.7</v>
      </c>
      <c r="E11" s="694">
        <v>26</v>
      </c>
      <c r="F11" s="694">
        <v>0</v>
      </c>
      <c r="G11" s="694">
        <v>0</v>
      </c>
      <c r="H11" s="694">
        <v>880</v>
      </c>
      <c r="I11" s="694">
        <f t="shared" si="0"/>
        <v>911.7</v>
      </c>
      <c r="J11" s="483">
        <v>33</v>
      </c>
      <c r="K11" s="482">
        <f t="shared" si="1"/>
        <v>8.3072990278300618E-2</v>
      </c>
      <c r="L11" s="687" t="s">
        <v>150</v>
      </c>
      <c r="M11" s="1309">
        <v>7</v>
      </c>
      <c r="N11" s="672" t="s">
        <v>150</v>
      </c>
      <c r="O11" s="1856">
        <v>8</v>
      </c>
      <c r="P11" s="1856">
        <v>4.7</v>
      </c>
      <c r="Q11" s="1851">
        <v>26</v>
      </c>
      <c r="R11" s="1856">
        <v>0</v>
      </c>
      <c r="S11" s="1856">
        <v>880</v>
      </c>
      <c r="T11" s="1851">
        <f t="shared" si="2"/>
        <v>918.7</v>
      </c>
      <c r="U11" s="483">
        <v>33</v>
      </c>
      <c r="V11" s="482">
        <f t="shared" si="3"/>
        <v>6.1627664500953236E-2</v>
      </c>
      <c r="W11" s="1300" t="s">
        <v>16</v>
      </c>
    </row>
    <row r="12" spans="1:23" s="669" customFormat="1" ht="21" customHeight="1">
      <c r="A12" s="685">
        <v>8</v>
      </c>
      <c r="B12" s="672" t="s">
        <v>17</v>
      </c>
      <c r="C12" s="695">
        <v>84431</v>
      </c>
      <c r="D12" s="695">
        <v>201.97</v>
      </c>
      <c r="E12" s="694">
        <v>1221</v>
      </c>
      <c r="F12" s="694">
        <v>350</v>
      </c>
      <c r="G12" s="694">
        <v>112</v>
      </c>
      <c r="H12" s="694">
        <v>35770</v>
      </c>
      <c r="I12" s="694">
        <f t="shared" si="0"/>
        <v>122085.97</v>
      </c>
      <c r="J12" s="483">
        <v>36956</v>
      </c>
      <c r="K12" s="482">
        <f t="shared" si="1"/>
        <v>11.124324447654821</v>
      </c>
      <c r="L12" s="687" t="s">
        <v>151</v>
      </c>
      <c r="M12" s="1309">
        <v>8</v>
      </c>
      <c r="N12" s="672" t="s">
        <v>151</v>
      </c>
      <c r="O12" s="1856">
        <v>142560</v>
      </c>
      <c r="P12" s="1856">
        <v>201.97</v>
      </c>
      <c r="Q12" s="1851">
        <v>1571</v>
      </c>
      <c r="R12" s="1856">
        <v>112</v>
      </c>
      <c r="S12" s="1856">
        <v>35770</v>
      </c>
      <c r="T12" s="1851">
        <f t="shared" si="2"/>
        <v>180214.97</v>
      </c>
      <c r="U12" s="483">
        <v>36956</v>
      </c>
      <c r="V12" s="482">
        <f t="shared" si="3"/>
        <v>12.089069020582727</v>
      </c>
      <c r="W12" s="1300" t="s">
        <v>17</v>
      </c>
    </row>
    <row r="13" spans="1:23" s="669" customFormat="1" ht="21" customHeight="1">
      <c r="A13" s="685">
        <v>9</v>
      </c>
      <c r="B13" s="672" t="s">
        <v>1366</v>
      </c>
      <c r="C13" s="695"/>
      <c r="D13" s="695">
        <v>107.4</v>
      </c>
      <c r="E13" s="694">
        <v>1333</v>
      </c>
      <c r="F13" s="694">
        <v>350</v>
      </c>
      <c r="G13" s="694">
        <v>24</v>
      </c>
      <c r="H13" s="694">
        <v>4560</v>
      </c>
      <c r="I13" s="694">
        <f t="shared" si="0"/>
        <v>6374.4</v>
      </c>
      <c r="J13" s="483">
        <v>1910</v>
      </c>
      <c r="K13" s="482">
        <f t="shared" si="1"/>
        <v>0.58082754111001367</v>
      </c>
      <c r="L13" s="687" t="s">
        <v>152</v>
      </c>
      <c r="M13" s="1309">
        <v>9</v>
      </c>
      <c r="N13" s="672" t="s">
        <v>152</v>
      </c>
      <c r="O13" s="1852">
        <v>419</v>
      </c>
      <c r="P13" s="1852">
        <v>107.4</v>
      </c>
      <c r="Q13" s="1852">
        <v>1683</v>
      </c>
      <c r="R13" s="1852">
        <v>24</v>
      </c>
      <c r="S13" s="1852">
        <v>4560</v>
      </c>
      <c r="T13" s="1851">
        <f t="shared" si="2"/>
        <v>6793.4</v>
      </c>
      <c r="U13" s="483">
        <v>1910</v>
      </c>
      <c r="V13" s="482">
        <f t="shared" si="3"/>
        <v>0.45571065203088673</v>
      </c>
      <c r="W13" s="1300" t="s">
        <v>1366</v>
      </c>
    </row>
    <row r="14" spans="1:23" s="669" customFormat="1" ht="21" customHeight="1">
      <c r="A14" s="685">
        <v>10</v>
      </c>
      <c r="B14" s="672" t="s">
        <v>5</v>
      </c>
      <c r="C14" s="695"/>
      <c r="D14" s="695">
        <v>3460.34</v>
      </c>
      <c r="E14" s="694">
        <v>142</v>
      </c>
      <c r="F14" s="694">
        <v>0</v>
      </c>
      <c r="G14" s="694">
        <v>2</v>
      </c>
      <c r="H14" s="694">
        <v>33840</v>
      </c>
      <c r="I14" s="694">
        <f t="shared" si="0"/>
        <v>37444.339999999997</v>
      </c>
      <c r="J14" s="483">
        <v>2606</v>
      </c>
      <c r="K14" s="482">
        <f t="shared" si="1"/>
        <v>3.4118825192468822</v>
      </c>
      <c r="L14" s="687" t="s">
        <v>153</v>
      </c>
      <c r="M14" s="1309">
        <v>10</v>
      </c>
      <c r="N14" s="672" t="s">
        <v>153</v>
      </c>
      <c r="O14" s="1856">
        <v>151</v>
      </c>
      <c r="P14" s="1856">
        <v>3460.34</v>
      </c>
      <c r="Q14" s="1851">
        <v>142</v>
      </c>
      <c r="R14" s="1856">
        <v>2</v>
      </c>
      <c r="S14" s="1856">
        <v>33840</v>
      </c>
      <c r="T14" s="1851">
        <f t="shared" si="2"/>
        <v>37595.339999999997</v>
      </c>
      <c r="U14" s="483">
        <v>2606</v>
      </c>
      <c r="V14" s="482">
        <f t="shared" si="3"/>
        <v>2.5219473172083018</v>
      </c>
      <c r="W14" s="1300" t="s">
        <v>5</v>
      </c>
    </row>
    <row r="15" spans="1:23" s="669" customFormat="1" ht="21" customHeight="1">
      <c r="A15" s="685">
        <v>11</v>
      </c>
      <c r="B15" s="672" t="s">
        <v>632</v>
      </c>
      <c r="C15" s="695"/>
      <c r="D15" s="695">
        <v>1707.45</v>
      </c>
      <c r="E15" s="694">
        <v>43</v>
      </c>
      <c r="F15" s="694">
        <v>0</v>
      </c>
      <c r="G15" s="694">
        <v>0</v>
      </c>
      <c r="H15" s="694">
        <v>111050</v>
      </c>
      <c r="I15" s="694">
        <f t="shared" si="0"/>
        <v>112800.45</v>
      </c>
      <c r="J15" s="483">
        <v>7159</v>
      </c>
      <c r="K15" s="482">
        <f t="shared" si="1"/>
        <v>10.27823920833381</v>
      </c>
      <c r="L15" s="687" t="s">
        <v>154</v>
      </c>
      <c r="M15" s="1309">
        <v>11</v>
      </c>
      <c r="N15" s="672" t="s">
        <v>1333</v>
      </c>
      <c r="O15" s="1856">
        <v>3</v>
      </c>
      <c r="P15" s="1856">
        <v>1707.45</v>
      </c>
      <c r="Q15" s="1851">
        <v>43</v>
      </c>
      <c r="R15" s="1856">
        <v>0</v>
      </c>
      <c r="S15" s="1856">
        <v>111050</v>
      </c>
      <c r="T15" s="1851">
        <f t="shared" si="2"/>
        <v>112803.45</v>
      </c>
      <c r="U15" s="483">
        <v>7159</v>
      </c>
      <c r="V15" s="482">
        <f t="shared" si="3"/>
        <v>7.5670111800914901</v>
      </c>
      <c r="W15" s="1300" t="s">
        <v>632</v>
      </c>
    </row>
    <row r="16" spans="1:23" s="669" customFormat="1" ht="21" customHeight="1">
      <c r="A16" s="685">
        <v>12</v>
      </c>
      <c r="B16" s="672" t="s">
        <v>27</v>
      </c>
      <c r="C16" s="695"/>
      <c r="D16" s="695">
        <v>227.96</v>
      </c>
      <c r="E16" s="694">
        <v>90</v>
      </c>
      <c r="F16" s="694">
        <v>0</v>
      </c>
      <c r="G16" s="694">
        <v>10</v>
      </c>
      <c r="H16" s="694">
        <v>18180</v>
      </c>
      <c r="I16" s="694">
        <f t="shared" si="0"/>
        <v>18507.96</v>
      </c>
      <c r="J16" s="483">
        <v>400</v>
      </c>
      <c r="K16" s="482">
        <f t="shared" si="1"/>
        <v>1.6864227060997878</v>
      </c>
      <c r="L16" s="687" t="s">
        <v>155</v>
      </c>
      <c r="M16" s="1309">
        <v>12</v>
      </c>
      <c r="N16" s="672" t="s">
        <v>155</v>
      </c>
      <c r="O16" s="1852">
        <v>0</v>
      </c>
      <c r="P16" s="1852">
        <v>227.96</v>
      </c>
      <c r="Q16" s="1852">
        <v>90</v>
      </c>
      <c r="R16" s="1852">
        <v>10</v>
      </c>
      <c r="S16" s="1852">
        <v>18180</v>
      </c>
      <c r="T16" s="1851">
        <f t="shared" si="2"/>
        <v>18507.96</v>
      </c>
      <c r="U16" s="483">
        <v>400</v>
      </c>
      <c r="V16" s="482">
        <f t="shared" si="3"/>
        <v>1.2415395117851991</v>
      </c>
      <c r="W16" s="1300" t="s">
        <v>27</v>
      </c>
    </row>
    <row r="17" spans="1:23" s="669" customFormat="1" ht="21" customHeight="1">
      <c r="A17" s="685">
        <v>13</v>
      </c>
      <c r="B17" s="672" t="s">
        <v>1365</v>
      </c>
      <c r="C17" s="695">
        <v>55857</v>
      </c>
      <c r="D17" s="695">
        <v>3726.49</v>
      </c>
      <c r="E17" s="694">
        <v>1131</v>
      </c>
      <c r="F17" s="694">
        <v>450</v>
      </c>
      <c r="G17" s="694">
        <v>0</v>
      </c>
      <c r="H17" s="694">
        <v>24700</v>
      </c>
      <c r="I17" s="694">
        <f t="shared" si="0"/>
        <v>85864.489999999991</v>
      </c>
      <c r="J17" s="483">
        <v>19315</v>
      </c>
      <c r="K17" s="482">
        <f t="shared" si="1"/>
        <v>7.8238674377769435</v>
      </c>
      <c r="L17" s="687" t="s">
        <v>156</v>
      </c>
      <c r="M17" s="1309">
        <v>13</v>
      </c>
      <c r="N17" s="672" t="s">
        <v>156</v>
      </c>
      <c r="O17" s="1856">
        <v>124155</v>
      </c>
      <c r="P17" s="1856">
        <v>3726.49</v>
      </c>
      <c r="Q17" s="1851">
        <v>1581</v>
      </c>
      <c r="R17" s="1856">
        <v>0</v>
      </c>
      <c r="S17" s="1856">
        <v>24700</v>
      </c>
      <c r="T17" s="1851">
        <f t="shared" si="2"/>
        <v>154162.49</v>
      </c>
      <c r="U17" s="483">
        <v>19315</v>
      </c>
      <c r="V17" s="482">
        <f t="shared" si="3"/>
        <v>10.341432690052855</v>
      </c>
      <c r="W17" s="1300" t="s">
        <v>1365</v>
      </c>
    </row>
    <row r="18" spans="1:23" s="669" customFormat="1" ht="21" customHeight="1">
      <c r="A18" s="685">
        <v>14</v>
      </c>
      <c r="B18" s="672" t="s">
        <v>1364</v>
      </c>
      <c r="C18" s="695">
        <v>1700</v>
      </c>
      <c r="D18" s="695">
        <v>647.15</v>
      </c>
      <c r="E18" s="694">
        <v>1044</v>
      </c>
      <c r="F18" s="694">
        <v>0</v>
      </c>
      <c r="G18" s="694">
        <v>36</v>
      </c>
      <c r="H18" s="694">
        <v>6110</v>
      </c>
      <c r="I18" s="694">
        <f t="shared" si="0"/>
        <v>9537.15</v>
      </c>
      <c r="J18" s="483">
        <v>2621</v>
      </c>
      <c r="K18" s="482">
        <f t="shared" si="1"/>
        <v>0.86901345753284487</v>
      </c>
      <c r="L18" s="687" t="s">
        <v>157</v>
      </c>
      <c r="M18" s="1309">
        <v>14</v>
      </c>
      <c r="N18" s="672" t="s">
        <v>157</v>
      </c>
      <c r="O18" s="1856">
        <v>2311</v>
      </c>
      <c r="P18" s="1852">
        <v>0</v>
      </c>
      <c r="Q18" s="1851">
        <v>1044</v>
      </c>
      <c r="R18" s="1856">
        <v>36</v>
      </c>
      <c r="S18" s="1856">
        <v>6110</v>
      </c>
      <c r="T18" s="1851">
        <f t="shared" si="2"/>
        <v>9501</v>
      </c>
      <c r="U18" s="483">
        <v>2621</v>
      </c>
      <c r="V18" s="482">
        <f t="shared" si="3"/>
        <v>0.63734019856705848</v>
      </c>
      <c r="W18" s="1300" t="s">
        <v>1364</v>
      </c>
    </row>
    <row r="19" spans="1:23" s="669" customFormat="1" ht="21" customHeight="1">
      <c r="A19" s="685"/>
      <c r="B19" s="672"/>
      <c r="C19" s="695"/>
      <c r="D19" s="695"/>
      <c r="E19" s="694"/>
      <c r="F19" s="694"/>
      <c r="G19" s="694"/>
      <c r="H19" s="694"/>
      <c r="I19" s="694"/>
      <c r="J19" s="483"/>
      <c r="K19" s="482"/>
      <c r="L19" s="687"/>
      <c r="M19" s="1309">
        <v>15</v>
      </c>
      <c r="N19" s="672" t="s">
        <v>654</v>
      </c>
      <c r="O19" s="1852">
        <v>0</v>
      </c>
      <c r="P19" s="1852">
        <v>647.15</v>
      </c>
      <c r="Q19" s="1852">
        <v>0</v>
      </c>
      <c r="R19" s="1852">
        <v>0</v>
      </c>
      <c r="S19" s="1852">
        <v>0</v>
      </c>
      <c r="T19" s="1851">
        <f t="shared" si="2"/>
        <v>647.15</v>
      </c>
      <c r="U19" s="483"/>
      <c r="V19" s="482"/>
      <c r="W19" s="1300" t="s">
        <v>649</v>
      </c>
    </row>
    <row r="20" spans="1:23" s="669" customFormat="1" ht="21" customHeight="1">
      <c r="A20" s="685">
        <v>15</v>
      </c>
      <c r="B20" s="672" t="s">
        <v>859</v>
      </c>
      <c r="C20" s="695">
        <v>10484</v>
      </c>
      <c r="D20" s="695">
        <v>820.44</v>
      </c>
      <c r="E20" s="694">
        <v>1364</v>
      </c>
      <c r="F20" s="694">
        <v>0</v>
      </c>
      <c r="G20" s="694">
        <v>78</v>
      </c>
      <c r="H20" s="694">
        <v>61660</v>
      </c>
      <c r="I20" s="694">
        <f t="shared" ref="I20:I42" si="4">SUM(C20:H20)</f>
        <v>74406.44</v>
      </c>
      <c r="J20" s="483">
        <v>5193</v>
      </c>
      <c r="K20" s="482">
        <f t="shared" ref="K20:K42" si="5">I20/$I$43*100</f>
        <v>6.7798239187923199</v>
      </c>
      <c r="L20" s="687" t="s">
        <v>158</v>
      </c>
      <c r="M20" s="1309">
        <v>16</v>
      </c>
      <c r="N20" s="672" t="s">
        <v>158</v>
      </c>
      <c r="O20" s="1856">
        <v>15404</v>
      </c>
      <c r="P20" s="1856">
        <v>820.44</v>
      </c>
      <c r="Q20" s="1851">
        <v>1364</v>
      </c>
      <c r="R20" s="1856">
        <v>78</v>
      </c>
      <c r="S20" s="1856">
        <v>61660</v>
      </c>
      <c r="T20" s="1851">
        <f t="shared" si="2"/>
        <v>79326.44</v>
      </c>
      <c r="U20" s="483">
        <v>5193</v>
      </c>
      <c r="V20" s="482">
        <f t="shared" ref="V20:V42" si="6">T20/$T$43*100</f>
        <v>5.3213271256939114</v>
      </c>
      <c r="W20" s="1300" t="s">
        <v>859</v>
      </c>
    </row>
    <row r="21" spans="1:23" s="669" customFormat="1" ht="21" customHeight="1">
      <c r="A21" s="685">
        <v>16</v>
      </c>
      <c r="B21" s="672" t="s">
        <v>1363</v>
      </c>
      <c r="C21" s="695">
        <v>45394</v>
      </c>
      <c r="D21" s="695">
        <v>786.46</v>
      </c>
      <c r="E21" s="694">
        <v>1887</v>
      </c>
      <c r="F21" s="694">
        <v>1250</v>
      </c>
      <c r="G21" s="694">
        <v>287</v>
      </c>
      <c r="H21" s="694">
        <v>64320</v>
      </c>
      <c r="I21" s="694">
        <f t="shared" si="4"/>
        <v>113924.45999999999</v>
      </c>
      <c r="J21" s="483">
        <v>10179</v>
      </c>
      <c r="K21" s="482">
        <f t="shared" si="5"/>
        <v>10.380657626456779</v>
      </c>
      <c r="L21" s="687" t="s">
        <v>159</v>
      </c>
      <c r="M21" s="1309">
        <v>17</v>
      </c>
      <c r="N21" s="672" t="s">
        <v>159</v>
      </c>
      <c r="O21" s="1856">
        <v>98213</v>
      </c>
      <c r="P21" s="1856">
        <v>786.46</v>
      </c>
      <c r="Q21" s="1851">
        <v>3137</v>
      </c>
      <c r="R21" s="1856">
        <v>287</v>
      </c>
      <c r="S21" s="1856">
        <v>64320</v>
      </c>
      <c r="T21" s="1851">
        <f t="shared" si="2"/>
        <v>166743.46000000002</v>
      </c>
      <c r="U21" s="483">
        <v>10179</v>
      </c>
      <c r="V21" s="482">
        <f t="shared" si="6"/>
        <v>11.185381528908366</v>
      </c>
      <c r="W21" s="1300" t="s">
        <v>1363</v>
      </c>
    </row>
    <row r="22" spans="1:23" s="669" customFormat="1" ht="21" customHeight="1">
      <c r="A22" s="685">
        <v>17</v>
      </c>
      <c r="B22" s="672" t="s">
        <v>1362</v>
      </c>
      <c r="C22" s="695"/>
      <c r="D22" s="695">
        <v>99.95</v>
      </c>
      <c r="E22" s="694">
        <v>13</v>
      </c>
      <c r="F22" s="694">
        <v>0</v>
      </c>
      <c r="G22" s="694">
        <v>2</v>
      </c>
      <c r="H22" s="694">
        <v>10630</v>
      </c>
      <c r="I22" s="694">
        <f t="shared" si="4"/>
        <v>10744.95</v>
      </c>
      <c r="J22" s="483">
        <v>180</v>
      </c>
      <c r="K22" s="482">
        <f t="shared" si="5"/>
        <v>0.97906671809896484</v>
      </c>
      <c r="L22" s="687" t="s">
        <v>160</v>
      </c>
      <c r="M22" s="1309">
        <v>18</v>
      </c>
      <c r="N22" s="672" t="s">
        <v>160</v>
      </c>
      <c r="O22" s="1852">
        <v>0</v>
      </c>
      <c r="P22" s="1852">
        <v>99.95</v>
      </c>
      <c r="Q22" s="1852">
        <v>13</v>
      </c>
      <c r="R22" s="1852">
        <v>2</v>
      </c>
      <c r="S22" s="1852">
        <v>10630</v>
      </c>
      <c r="T22" s="1851">
        <f t="shared" si="2"/>
        <v>10744.95</v>
      </c>
      <c r="U22" s="483">
        <v>180</v>
      </c>
      <c r="V22" s="482">
        <f t="shared" si="6"/>
        <v>0.72078608215904805</v>
      </c>
      <c r="W22" s="1300" t="s">
        <v>1362</v>
      </c>
    </row>
    <row r="23" spans="1:23" s="669" customFormat="1" ht="21" customHeight="1">
      <c r="A23" s="685">
        <v>18</v>
      </c>
      <c r="B23" s="672" t="s">
        <v>843</v>
      </c>
      <c r="C23" s="695"/>
      <c r="D23" s="695">
        <v>230.05</v>
      </c>
      <c r="E23" s="694">
        <v>11</v>
      </c>
      <c r="F23" s="694">
        <v>0</v>
      </c>
      <c r="G23" s="694">
        <v>2</v>
      </c>
      <c r="H23" s="694">
        <v>5860</v>
      </c>
      <c r="I23" s="694">
        <f t="shared" si="4"/>
        <v>6103.05</v>
      </c>
      <c r="J23" s="483">
        <v>325</v>
      </c>
      <c r="K23" s="482">
        <f t="shared" si="5"/>
        <v>0.55610246058789359</v>
      </c>
      <c r="L23" s="687" t="s">
        <v>161</v>
      </c>
      <c r="M23" s="1309">
        <v>19</v>
      </c>
      <c r="N23" s="672" t="s">
        <v>161</v>
      </c>
      <c r="O23" s="1856">
        <v>1</v>
      </c>
      <c r="P23" s="1856">
        <v>230.05</v>
      </c>
      <c r="Q23" s="1851">
        <v>11</v>
      </c>
      <c r="R23" s="1856">
        <v>2</v>
      </c>
      <c r="S23" s="1856">
        <v>5860</v>
      </c>
      <c r="T23" s="1851">
        <f t="shared" si="2"/>
        <v>6104.05</v>
      </c>
      <c r="U23" s="483">
        <v>325</v>
      </c>
      <c r="V23" s="482">
        <f t="shared" si="6"/>
        <v>0.40946810220642604</v>
      </c>
      <c r="W23" s="1300" t="s">
        <v>843</v>
      </c>
    </row>
    <row r="24" spans="1:23" s="669" customFormat="1" ht="21" customHeight="1">
      <c r="A24" s="685">
        <v>19</v>
      </c>
      <c r="B24" s="672" t="s">
        <v>1361</v>
      </c>
      <c r="C24" s="695"/>
      <c r="D24" s="695">
        <v>168.9</v>
      </c>
      <c r="E24" s="694">
        <v>1</v>
      </c>
      <c r="F24" s="694">
        <v>0</v>
      </c>
      <c r="G24" s="694">
        <v>2</v>
      </c>
      <c r="H24" s="694">
        <v>9090</v>
      </c>
      <c r="I24" s="694">
        <f t="shared" si="4"/>
        <v>9261.9</v>
      </c>
      <c r="J24" s="483">
        <v>172</v>
      </c>
      <c r="K24" s="482">
        <f t="shared" si="5"/>
        <v>0.8439330137749177</v>
      </c>
      <c r="L24" s="687" t="s">
        <v>162</v>
      </c>
      <c r="M24" s="1309">
        <v>20</v>
      </c>
      <c r="N24" s="672" t="s">
        <v>162</v>
      </c>
      <c r="O24" s="1856">
        <v>0</v>
      </c>
      <c r="P24" s="1856">
        <v>168.9</v>
      </c>
      <c r="Q24" s="1851">
        <v>1</v>
      </c>
      <c r="R24" s="1856">
        <v>2</v>
      </c>
      <c r="S24" s="1856">
        <v>9090</v>
      </c>
      <c r="T24" s="1851">
        <f t="shared" si="2"/>
        <v>9261.9</v>
      </c>
      <c r="U24" s="483">
        <v>172</v>
      </c>
      <c r="V24" s="482">
        <f t="shared" si="6"/>
        <v>0.62130104042819057</v>
      </c>
      <c r="W24" s="1300" t="s">
        <v>1361</v>
      </c>
    </row>
    <row r="25" spans="1:23" s="669" customFormat="1" ht="21" customHeight="1">
      <c r="A25" s="685">
        <v>20</v>
      </c>
      <c r="B25" s="672" t="s">
        <v>31</v>
      </c>
      <c r="C25" s="695"/>
      <c r="D25" s="695">
        <v>182.18</v>
      </c>
      <c r="E25" s="694">
        <v>10</v>
      </c>
      <c r="F25" s="694">
        <v>0</v>
      </c>
      <c r="G25" s="694">
        <v>0</v>
      </c>
      <c r="H25" s="694">
        <v>7290</v>
      </c>
      <c r="I25" s="694">
        <f t="shared" si="4"/>
        <v>7482.18</v>
      </c>
      <c r="J25" s="483">
        <v>223</v>
      </c>
      <c r="K25" s="482">
        <f t="shared" si="5"/>
        <v>0.68176710145935648</v>
      </c>
      <c r="L25" s="687" t="s">
        <v>163</v>
      </c>
      <c r="M25" s="1309">
        <v>21</v>
      </c>
      <c r="N25" s="672" t="s">
        <v>163</v>
      </c>
      <c r="O25" s="1852">
        <v>0</v>
      </c>
      <c r="P25" s="1852">
        <v>182.18</v>
      </c>
      <c r="Q25" s="1852">
        <v>10</v>
      </c>
      <c r="R25" s="1852">
        <v>0</v>
      </c>
      <c r="S25" s="1852">
        <v>7290</v>
      </c>
      <c r="T25" s="1851">
        <f t="shared" si="2"/>
        <v>7482.18</v>
      </c>
      <c r="U25" s="483">
        <v>223</v>
      </c>
      <c r="V25" s="482">
        <f t="shared" si="6"/>
        <v>0.50191496546831638</v>
      </c>
      <c r="W25" s="1300" t="s">
        <v>31</v>
      </c>
    </row>
    <row r="26" spans="1:23" s="669" customFormat="1" ht="21" customHeight="1">
      <c r="A26" s="685">
        <v>21</v>
      </c>
      <c r="B26" s="672" t="s">
        <v>1360</v>
      </c>
      <c r="C26" s="695">
        <v>3093</v>
      </c>
      <c r="D26" s="695">
        <v>286.22000000000003</v>
      </c>
      <c r="E26" s="694">
        <v>246</v>
      </c>
      <c r="F26" s="694">
        <v>0</v>
      </c>
      <c r="G26" s="694">
        <v>22</v>
      </c>
      <c r="H26" s="694">
        <v>25780</v>
      </c>
      <c r="I26" s="694">
        <f t="shared" si="4"/>
        <v>29427.22</v>
      </c>
      <c r="J26" s="483">
        <v>1947</v>
      </c>
      <c r="K26" s="482">
        <f t="shared" si="5"/>
        <v>2.6813723384637638</v>
      </c>
      <c r="L26" s="687" t="s">
        <v>164</v>
      </c>
      <c r="M26" s="1309">
        <v>22</v>
      </c>
      <c r="N26" s="672" t="s">
        <v>164</v>
      </c>
      <c r="O26" s="1856">
        <v>8346</v>
      </c>
      <c r="P26" s="1856">
        <v>286.22000000000003</v>
      </c>
      <c r="Q26" s="1851">
        <v>246</v>
      </c>
      <c r="R26" s="1856">
        <v>22</v>
      </c>
      <c r="S26" s="1856">
        <v>25780</v>
      </c>
      <c r="T26" s="1851">
        <f t="shared" si="2"/>
        <v>34680.22</v>
      </c>
      <c r="U26" s="483">
        <v>1947</v>
      </c>
      <c r="V26" s="482">
        <f t="shared" si="6"/>
        <v>2.3263970425375513</v>
      </c>
      <c r="W26" s="1300" t="s">
        <v>1360</v>
      </c>
    </row>
    <row r="27" spans="1:23" s="669" customFormat="1" ht="21" customHeight="1">
      <c r="A27" s="685">
        <v>22</v>
      </c>
      <c r="B27" s="672" t="s">
        <v>32</v>
      </c>
      <c r="C27" s="695"/>
      <c r="D27" s="695">
        <v>578.28</v>
      </c>
      <c r="E27" s="694">
        <v>3172</v>
      </c>
      <c r="F27" s="694">
        <v>300</v>
      </c>
      <c r="G27" s="694">
        <v>45</v>
      </c>
      <c r="H27" s="694">
        <v>2810</v>
      </c>
      <c r="I27" s="694">
        <f t="shared" si="4"/>
        <v>6905.28</v>
      </c>
      <c r="J27" s="483">
        <v>3958</v>
      </c>
      <c r="K27" s="482">
        <f t="shared" si="5"/>
        <v>0.62920067819342285</v>
      </c>
      <c r="L27" s="687" t="s">
        <v>165</v>
      </c>
      <c r="M27" s="1309">
        <v>23</v>
      </c>
      <c r="N27" s="672" t="s">
        <v>165</v>
      </c>
      <c r="O27" s="1856">
        <v>278</v>
      </c>
      <c r="P27" s="1856">
        <v>578.28</v>
      </c>
      <c r="Q27" s="1851">
        <v>3472</v>
      </c>
      <c r="R27" s="1856">
        <v>45</v>
      </c>
      <c r="S27" s="1856">
        <v>2810</v>
      </c>
      <c r="T27" s="1851">
        <f t="shared" si="2"/>
        <v>7183.28</v>
      </c>
      <c r="U27" s="483">
        <v>3958</v>
      </c>
      <c r="V27" s="482">
        <f t="shared" si="6"/>
        <v>0.48186434076021256</v>
      </c>
      <c r="W27" s="1300" t="s">
        <v>32</v>
      </c>
    </row>
    <row r="28" spans="1:23" s="669" customFormat="1" ht="21" customHeight="1">
      <c r="A28" s="685">
        <v>23</v>
      </c>
      <c r="B28" s="672" t="s">
        <v>1359</v>
      </c>
      <c r="C28" s="695">
        <v>18770</v>
      </c>
      <c r="D28" s="695">
        <v>51.67</v>
      </c>
      <c r="E28" s="694">
        <v>1039</v>
      </c>
      <c r="F28" s="694">
        <v>0</v>
      </c>
      <c r="G28" s="694">
        <v>62</v>
      </c>
      <c r="H28" s="694">
        <v>142310</v>
      </c>
      <c r="I28" s="694">
        <f t="shared" si="4"/>
        <v>162232.66999999998</v>
      </c>
      <c r="J28" s="483">
        <v>6208</v>
      </c>
      <c r="K28" s="482">
        <f t="shared" si="5"/>
        <v>14.782442708931393</v>
      </c>
      <c r="L28" s="687" t="s">
        <v>166</v>
      </c>
      <c r="M28" s="1309">
        <v>24</v>
      </c>
      <c r="N28" s="672" t="s">
        <v>166</v>
      </c>
      <c r="O28" s="1852">
        <v>127756</v>
      </c>
      <c r="P28" s="1852">
        <v>51.67</v>
      </c>
      <c r="Q28" s="1852">
        <v>1039</v>
      </c>
      <c r="R28" s="1852">
        <v>62</v>
      </c>
      <c r="S28" s="1852">
        <v>142310</v>
      </c>
      <c r="T28" s="1851">
        <f t="shared" si="2"/>
        <v>271218.67</v>
      </c>
      <c r="U28" s="483">
        <v>6208</v>
      </c>
      <c r="V28" s="482">
        <f t="shared" si="6"/>
        <v>18.193722870528735</v>
      </c>
      <c r="W28" s="1300" t="s">
        <v>1359</v>
      </c>
    </row>
    <row r="29" spans="1:23" s="669" customFormat="1" ht="21" customHeight="1">
      <c r="A29" s="685">
        <v>24</v>
      </c>
      <c r="B29" s="672" t="s">
        <v>11</v>
      </c>
      <c r="C29" s="695"/>
      <c r="D29" s="695">
        <v>266.64</v>
      </c>
      <c r="E29" s="694">
        <v>2</v>
      </c>
      <c r="F29" s="694">
        <v>0</v>
      </c>
      <c r="G29" s="694">
        <v>0</v>
      </c>
      <c r="H29" s="694">
        <v>4940</v>
      </c>
      <c r="I29" s="694">
        <f t="shared" si="4"/>
        <v>5208.6400000000003</v>
      </c>
      <c r="J29" s="483">
        <v>367</v>
      </c>
      <c r="K29" s="482">
        <f t="shared" si="5"/>
        <v>0.47460491398833798</v>
      </c>
      <c r="L29" s="687" t="s">
        <v>167</v>
      </c>
      <c r="M29" s="1309">
        <v>25</v>
      </c>
      <c r="N29" s="672" t="s">
        <v>167</v>
      </c>
      <c r="O29" s="1856">
        <v>0</v>
      </c>
      <c r="P29" s="1856">
        <v>266.64</v>
      </c>
      <c r="Q29" s="1851">
        <v>2</v>
      </c>
      <c r="R29" s="1856"/>
      <c r="S29" s="1856">
        <v>4940</v>
      </c>
      <c r="T29" s="1851">
        <f t="shared" si="2"/>
        <v>5208.6400000000003</v>
      </c>
      <c r="U29" s="483">
        <v>367</v>
      </c>
      <c r="V29" s="482">
        <f t="shared" si="6"/>
        <v>0.34940276306329054</v>
      </c>
      <c r="W29" s="1300" t="s">
        <v>11</v>
      </c>
    </row>
    <row r="30" spans="1:23" s="669" customFormat="1" ht="21" customHeight="1">
      <c r="A30" s="685">
        <v>25</v>
      </c>
      <c r="B30" s="672" t="s">
        <v>1358</v>
      </c>
      <c r="C30" s="695">
        <v>33800</v>
      </c>
      <c r="D30" s="695">
        <v>604.46</v>
      </c>
      <c r="E30" s="694">
        <v>1070</v>
      </c>
      <c r="F30" s="694">
        <v>450</v>
      </c>
      <c r="G30" s="694">
        <v>151</v>
      </c>
      <c r="H30" s="694">
        <v>17670</v>
      </c>
      <c r="I30" s="694">
        <f t="shared" si="4"/>
        <v>53745.46</v>
      </c>
      <c r="J30" s="483">
        <v>16483</v>
      </c>
      <c r="K30" s="482">
        <f t="shared" si="5"/>
        <v>4.897220660395738</v>
      </c>
      <c r="L30" s="687" t="s">
        <v>168</v>
      </c>
      <c r="M30" s="1309">
        <v>26</v>
      </c>
      <c r="N30" s="672" t="s">
        <v>168</v>
      </c>
      <c r="O30" s="1856">
        <v>68750</v>
      </c>
      <c r="P30" s="1856">
        <v>604.46</v>
      </c>
      <c r="Q30" s="1851">
        <v>1520</v>
      </c>
      <c r="R30" s="1856">
        <v>151</v>
      </c>
      <c r="S30" s="1856">
        <v>17670</v>
      </c>
      <c r="T30" s="1851">
        <f t="shared" si="2"/>
        <v>88695.46</v>
      </c>
      <c r="U30" s="483">
        <v>16483</v>
      </c>
      <c r="V30" s="482">
        <f t="shared" si="6"/>
        <v>5.9498139236287333</v>
      </c>
      <c r="W30" s="1300" t="s">
        <v>1358</v>
      </c>
    </row>
    <row r="31" spans="1:23" s="669" customFormat="1" ht="21" customHeight="1">
      <c r="A31" s="685">
        <v>26</v>
      </c>
      <c r="B31" s="672" t="s">
        <v>39</v>
      </c>
      <c r="C31" s="695">
        <v>4244</v>
      </c>
      <c r="D31" s="695">
        <v>102.25</v>
      </c>
      <c r="E31" s="694"/>
      <c r="F31" s="694"/>
      <c r="G31" s="694">
        <v>0</v>
      </c>
      <c r="H31" s="694">
        <v>20410</v>
      </c>
      <c r="I31" s="694">
        <f t="shared" si="4"/>
        <v>24756.25</v>
      </c>
      <c r="J31" s="483"/>
      <c r="K31" s="482">
        <f t="shared" si="5"/>
        <v>2.2557592580642534</v>
      </c>
      <c r="L31" s="687" t="s">
        <v>169</v>
      </c>
      <c r="M31" s="1309">
        <v>27</v>
      </c>
      <c r="N31" s="672" t="s">
        <v>169</v>
      </c>
      <c r="O31" s="1852">
        <v>24835</v>
      </c>
      <c r="P31" s="1852">
        <v>102.25</v>
      </c>
      <c r="Q31" s="1852">
        <v>0</v>
      </c>
      <c r="R31" s="1852">
        <v>0</v>
      </c>
      <c r="S31" s="1852">
        <v>20410</v>
      </c>
      <c r="T31" s="1851">
        <f t="shared" si="2"/>
        <v>45347.25</v>
      </c>
      <c r="U31" s="483"/>
      <c r="V31" s="482">
        <f t="shared" si="6"/>
        <v>3.0419561435080564</v>
      </c>
      <c r="W31" s="1300" t="s">
        <v>39</v>
      </c>
    </row>
    <row r="32" spans="1:23" s="669" customFormat="1" ht="21" customHeight="1">
      <c r="A32" s="685">
        <v>27</v>
      </c>
      <c r="B32" s="672" t="s">
        <v>1357</v>
      </c>
      <c r="C32" s="695"/>
      <c r="D32" s="695">
        <v>46.86</v>
      </c>
      <c r="E32" s="694">
        <v>3</v>
      </c>
      <c r="F32" s="694">
        <v>0</v>
      </c>
      <c r="G32" s="694">
        <v>2</v>
      </c>
      <c r="H32" s="694">
        <v>2080</v>
      </c>
      <c r="I32" s="694">
        <f t="shared" si="4"/>
        <v>2131.86</v>
      </c>
      <c r="J32" s="483">
        <v>52</v>
      </c>
      <c r="K32" s="482">
        <f t="shared" si="5"/>
        <v>0.19425247894559389</v>
      </c>
      <c r="L32" s="687" t="s">
        <v>170</v>
      </c>
      <c r="M32" s="1309">
        <v>28</v>
      </c>
      <c r="N32" s="672" t="s">
        <v>170</v>
      </c>
      <c r="O32" s="1856">
        <v>0</v>
      </c>
      <c r="P32" s="1856">
        <v>46.86</v>
      </c>
      <c r="Q32" s="1851">
        <v>3</v>
      </c>
      <c r="R32" s="1856">
        <v>2</v>
      </c>
      <c r="S32" s="1856">
        <v>2080</v>
      </c>
      <c r="T32" s="1851">
        <f t="shared" si="2"/>
        <v>2131.86</v>
      </c>
      <c r="U32" s="483">
        <v>52</v>
      </c>
      <c r="V32" s="482">
        <f t="shared" si="6"/>
        <v>0.14300811237945157</v>
      </c>
      <c r="W32" s="1300" t="s">
        <v>1357</v>
      </c>
    </row>
    <row r="33" spans="1:27" s="669" customFormat="1" ht="21" customHeight="1">
      <c r="A33" s="685">
        <v>28</v>
      </c>
      <c r="B33" s="672" t="s">
        <v>853</v>
      </c>
      <c r="C33" s="695"/>
      <c r="D33" s="695">
        <v>460.75</v>
      </c>
      <c r="E33" s="694">
        <v>1617</v>
      </c>
      <c r="F33" s="694">
        <v>1250</v>
      </c>
      <c r="G33" s="694">
        <v>176</v>
      </c>
      <c r="H33" s="694">
        <v>22830</v>
      </c>
      <c r="I33" s="694">
        <f t="shared" si="4"/>
        <v>26333.75</v>
      </c>
      <c r="J33" s="483">
        <v>4764</v>
      </c>
      <c r="K33" s="482">
        <f t="shared" si="5"/>
        <v>2.3994991310093217</v>
      </c>
      <c r="L33" s="687" t="s">
        <v>171</v>
      </c>
      <c r="M33" s="1309">
        <v>29</v>
      </c>
      <c r="N33" s="672" t="s">
        <v>171</v>
      </c>
      <c r="O33" s="1856">
        <v>101</v>
      </c>
      <c r="P33" s="1856">
        <v>460.75</v>
      </c>
      <c r="Q33" s="1851">
        <v>2867</v>
      </c>
      <c r="R33" s="1856">
        <v>176</v>
      </c>
      <c r="S33" s="1856">
        <v>22830</v>
      </c>
      <c r="T33" s="1851">
        <f t="shared" si="2"/>
        <v>26434.75</v>
      </c>
      <c r="U33" s="483">
        <v>4764</v>
      </c>
      <c r="V33" s="482">
        <f t="shared" si="6"/>
        <v>1.7732795299516417</v>
      </c>
      <c r="W33" s="1300" t="s">
        <v>853</v>
      </c>
    </row>
    <row r="34" spans="1:27" s="669" customFormat="1" ht="21" customHeight="1">
      <c r="A34" s="685">
        <v>29</v>
      </c>
      <c r="B34" s="672" t="s">
        <v>36</v>
      </c>
      <c r="C34" s="695"/>
      <c r="D34" s="695">
        <v>1664.31</v>
      </c>
      <c r="E34" s="694">
        <v>24</v>
      </c>
      <c r="F34" s="694">
        <v>0</v>
      </c>
      <c r="G34" s="694">
        <v>5</v>
      </c>
      <c r="H34" s="694">
        <v>16800</v>
      </c>
      <c r="I34" s="694">
        <f t="shared" si="4"/>
        <v>18493.310000000001</v>
      </c>
      <c r="J34" s="483">
        <v>2271</v>
      </c>
      <c r="K34" s="482">
        <f t="shared" si="5"/>
        <v>1.685087815996051</v>
      </c>
      <c r="L34" s="687" t="s">
        <v>172</v>
      </c>
      <c r="M34" s="1309">
        <v>30</v>
      </c>
      <c r="N34" s="672" t="s">
        <v>172</v>
      </c>
      <c r="O34" s="1852">
        <v>54</v>
      </c>
      <c r="P34" s="1852">
        <v>1664.31</v>
      </c>
      <c r="Q34" s="1852">
        <v>24</v>
      </c>
      <c r="R34" s="1852">
        <v>5</v>
      </c>
      <c r="S34" s="1852">
        <v>16800</v>
      </c>
      <c r="T34" s="1851">
        <f t="shared" si="2"/>
        <v>18547.310000000001</v>
      </c>
      <c r="U34" s="483">
        <v>2271</v>
      </c>
      <c r="V34" s="482">
        <f t="shared" si="6"/>
        <v>1.2441791641179656</v>
      </c>
      <c r="W34" s="1300" t="s">
        <v>36</v>
      </c>
    </row>
    <row r="35" spans="1:27" s="669" customFormat="1" ht="21" customHeight="1">
      <c r="A35" s="685">
        <v>30</v>
      </c>
      <c r="B35" s="672" t="s">
        <v>1356</v>
      </c>
      <c r="C35" s="695">
        <v>2</v>
      </c>
      <c r="D35" s="695">
        <v>392.06</v>
      </c>
      <c r="E35" s="694">
        <v>396</v>
      </c>
      <c r="F35" s="694">
        <v>0</v>
      </c>
      <c r="G35" s="694">
        <v>148</v>
      </c>
      <c r="H35" s="694">
        <v>6260</v>
      </c>
      <c r="I35" s="694">
        <f t="shared" si="4"/>
        <v>7198.0599999999995</v>
      </c>
      <c r="J35" s="483">
        <v>962</v>
      </c>
      <c r="K35" s="482">
        <f t="shared" si="5"/>
        <v>0.65587843413691405</v>
      </c>
      <c r="L35" s="686" t="s">
        <v>173</v>
      </c>
      <c r="M35" s="1309">
        <v>31</v>
      </c>
      <c r="N35" s="676" t="s">
        <v>173</v>
      </c>
      <c r="O35" s="1856">
        <v>1050</v>
      </c>
      <c r="P35" s="1856">
        <v>392.06</v>
      </c>
      <c r="Q35" s="1851">
        <v>396</v>
      </c>
      <c r="R35" s="1856">
        <v>148</v>
      </c>
      <c r="S35" s="1856">
        <v>6260</v>
      </c>
      <c r="T35" s="1851">
        <f t="shared" si="2"/>
        <v>8246.06</v>
      </c>
      <c r="U35" s="483">
        <v>962</v>
      </c>
      <c r="V35" s="482">
        <f t="shared" si="6"/>
        <v>0.55315709060055551</v>
      </c>
      <c r="W35" s="1300" t="s">
        <v>1356</v>
      </c>
    </row>
    <row r="36" spans="1:27" s="669" customFormat="1" ht="30" customHeight="1">
      <c r="A36" s="685">
        <v>31</v>
      </c>
      <c r="B36" s="676" t="s">
        <v>272</v>
      </c>
      <c r="C36" s="695">
        <v>8</v>
      </c>
      <c r="D36" s="695">
        <v>7.27</v>
      </c>
      <c r="E36" s="694">
        <v>0</v>
      </c>
      <c r="F36" s="694">
        <v>0</v>
      </c>
      <c r="G36" s="694">
        <v>0</v>
      </c>
      <c r="H36" s="694">
        <v>0</v>
      </c>
      <c r="I36" s="694">
        <f t="shared" si="4"/>
        <v>15.27</v>
      </c>
      <c r="J36" s="483">
        <v>373</v>
      </c>
      <c r="K36" s="482">
        <f t="shared" si="5"/>
        <v>1.3913837463525834E-3</v>
      </c>
      <c r="L36" s="686" t="s">
        <v>1332</v>
      </c>
      <c r="M36" s="1309">
        <v>32</v>
      </c>
      <c r="N36" s="676" t="s">
        <v>1332</v>
      </c>
      <c r="O36" s="1856">
        <v>1277</v>
      </c>
      <c r="P36" s="1856">
        <v>7.27</v>
      </c>
      <c r="Q36" s="1851">
        <v>0</v>
      </c>
      <c r="R36" s="1856"/>
      <c r="S36" s="1856">
        <v>0</v>
      </c>
      <c r="T36" s="1851">
        <f t="shared" si="2"/>
        <v>1284.27</v>
      </c>
      <c r="U36" s="483">
        <v>373</v>
      </c>
      <c r="V36" s="482">
        <f t="shared" si="6"/>
        <v>8.6150604864089694E-2</v>
      </c>
      <c r="W36" s="1301" t="s">
        <v>272</v>
      </c>
    </row>
    <row r="37" spans="1:27" s="669" customFormat="1" ht="21" customHeight="1">
      <c r="A37" s="685">
        <v>32</v>
      </c>
      <c r="B37" s="672" t="s">
        <v>38</v>
      </c>
      <c r="C37" s="695"/>
      <c r="D37" s="695"/>
      <c r="E37" s="694">
        <v>0</v>
      </c>
      <c r="F37" s="694">
        <v>0</v>
      </c>
      <c r="G37" s="694">
        <v>6</v>
      </c>
      <c r="H37" s="694">
        <v>0</v>
      </c>
      <c r="I37" s="694">
        <f t="shared" si="4"/>
        <v>6</v>
      </c>
      <c r="J37" s="483">
        <v>6</v>
      </c>
      <c r="K37" s="482">
        <f t="shared" si="5"/>
        <v>5.4671267047252785E-4</v>
      </c>
      <c r="L37" s="687" t="s">
        <v>175</v>
      </c>
      <c r="M37" s="1309">
        <v>33</v>
      </c>
      <c r="N37" s="672" t="s">
        <v>175</v>
      </c>
      <c r="O37" s="1852">
        <v>0</v>
      </c>
      <c r="P37" s="1852"/>
      <c r="Q37" s="1852">
        <v>0</v>
      </c>
      <c r="R37" s="1852">
        <v>6</v>
      </c>
      <c r="S37" s="1852">
        <v>0</v>
      </c>
      <c r="T37" s="1851">
        <f t="shared" si="2"/>
        <v>6</v>
      </c>
      <c r="U37" s="483">
        <v>6</v>
      </c>
      <c r="V37" s="482">
        <f t="shared" si="6"/>
        <v>4.0248828453871708E-4</v>
      </c>
      <c r="W37" s="1300" t="s">
        <v>38</v>
      </c>
    </row>
    <row r="38" spans="1:27" s="669" customFormat="1" ht="21" customHeight="1">
      <c r="A38" s="685">
        <v>33</v>
      </c>
      <c r="B38" s="672" t="s">
        <v>1331</v>
      </c>
      <c r="C38" s="695"/>
      <c r="D38" s="695"/>
      <c r="E38" s="694">
        <v>0</v>
      </c>
      <c r="F38" s="694">
        <v>0</v>
      </c>
      <c r="G38" s="694">
        <v>0</v>
      </c>
      <c r="H38" s="694">
        <v>0</v>
      </c>
      <c r="I38" s="694">
        <f t="shared" si="4"/>
        <v>0</v>
      </c>
      <c r="J38" s="483">
        <v>0</v>
      </c>
      <c r="K38" s="482">
        <f t="shared" si="5"/>
        <v>0</v>
      </c>
      <c r="L38" s="687" t="s">
        <v>176</v>
      </c>
      <c r="M38" s="1309">
        <v>34</v>
      </c>
      <c r="N38" s="672" t="s">
        <v>1149</v>
      </c>
      <c r="O38" s="1856">
        <v>0</v>
      </c>
      <c r="P38" s="1853"/>
      <c r="Q38" s="1851">
        <v>0</v>
      </c>
      <c r="R38" s="1856"/>
      <c r="S38" s="1856">
        <v>0</v>
      </c>
      <c r="T38" s="1851">
        <f t="shared" si="2"/>
        <v>0</v>
      </c>
      <c r="U38" s="483">
        <v>0</v>
      </c>
      <c r="V38" s="482">
        <f t="shared" si="6"/>
        <v>0</v>
      </c>
      <c r="W38" s="1300" t="s">
        <v>1331</v>
      </c>
    </row>
    <row r="39" spans="1:27" s="669" customFormat="1" ht="21" customHeight="1">
      <c r="A39" s="685">
        <v>34</v>
      </c>
      <c r="B39" s="672" t="s">
        <v>1355</v>
      </c>
      <c r="C39" s="695"/>
      <c r="D39" s="695"/>
      <c r="E39" s="694">
        <v>0</v>
      </c>
      <c r="F39" s="694">
        <v>0</v>
      </c>
      <c r="G39" s="694">
        <v>0</v>
      </c>
      <c r="H39" s="694">
        <v>0</v>
      </c>
      <c r="I39" s="694">
        <f t="shared" si="4"/>
        <v>0</v>
      </c>
      <c r="J39" s="483">
        <v>4</v>
      </c>
      <c r="K39" s="482">
        <f t="shared" si="5"/>
        <v>0</v>
      </c>
      <c r="L39" s="687" t="s">
        <v>1330</v>
      </c>
      <c r="M39" s="1309">
        <v>35</v>
      </c>
      <c r="N39" s="672" t="s">
        <v>1330</v>
      </c>
      <c r="O39" s="1856">
        <v>0</v>
      </c>
      <c r="P39" s="1853"/>
      <c r="Q39" s="1851">
        <v>0</v>
      </c>
      <c r="R39" s="1856"/>
      <c r="S39" s="1856">
        <v>0</v>
      </c>
      <c r="T39" s="1851">
        <f t="shared" si="2"/>
        <v>0</v>
      </c>
      <c r="U39" s="483">
        <v>4</v>
      </c>
      <c r="V39" s="482">
        <f t="shared" si="6"/>
        <v>0</v>
      </c>
      <c r="W39" s="1300" t="s">
        <v>1355</v>
      </c>
    </row>
    <row r="40" spans="1:27" s="669" customFormat="1" ht="21" customHeight="1">
      <c r="A40" s="685">
        <v>35</v>
      </c>
      <c r="B40" s="672" t="s">
        <v>1354</v>
      </c>
      <c r="C40" s="695">
        <v>8</v>
      </c>
      <c r="D40" s="695"/>
      <c r="E40" s="694">
        <v>0</v>
      </c>
      <c r="F40" s="694">
        <v>0</v>
      </c>
      <c r="G40" s="694">
        <v>0</v>
      </c>
      <c r="H40" s="694">
        <v>0</v>
      </c>
      <c r="I40" s="694">
        <f t="shared" si="4"/>
        <v>8</v>
      </c>
      <c r="J40" s="483">
        <v>0</v>
      </c>
      <c r="K40" s="482">
        <f t="shared" si="5"/>
        <v>7.2895022729670394E-4</v>
      </c>
      <c r="L40" s="687" t="s">
        <v>178</v>
      </c>
      <c r="M40" s="1309">
        <v>36</v>
      </c>
      <c r="N40" s="672" t="s">
        <v>178</v>
      </c>
      <c r="O40" s="1852">
        <v>31</v>
      </c>
      <c r="P40" s="1852"/>
      <c r="Q40" s="1852">
        <v>0</v>
      </c>
      <c r="R40" s="1852"/>
      <c r="S40" s="1852"/>
      <c r="T40" s="1851">
        <f t="shared" si="2"/>
        <v>31</v>
      </c>
      <c r="U40" s="483">
        <v>0</v>
      </c>
      <c r="V40" s="482">
        <f t="shared" si="6"/>
        <v>2.0795228034500382E-3</v>
      </c>
      <c r="W40" s="1300" t="s">
        <v>1354</v>
      </c>
    </row>
    <row r="41" spans="1:27" s="669" customFormat="1" ht="21" customHeight="1">
      <c r="A41" s="685">
        <v>36</v>
      </c>
      <c r="B41" s="672" t="s">
        <v>1353</v>
      </c>
      <c r="C41" s="695">
        <v>153</v>
      </c>
      <c r="D41" s="695"/>
      <c r="E41" s="694">
        <v>0</v>
      </c>
      <c r="F41" s="694">
        <v>0</v>
      </c>
      <c r="G41" s="694">
        <v>3</v>
      </c>
      <c r="H41" s="694">
        <v>0</v>
      </c>
      <c r="I41" s="694">
        <f t="shared" si="4"/>
        <v>156</v>
      </c>
      <c r="J41" s="483">
        <v>123</v>
      </c>
      <c r="K41" s="482">
        <f t="shared" si="5"/>
        <v>1.4214529432285725E-2</v>
      </c>
      <c r="L41" s="687" t="s">
        <v>179</v>
      </c>
      <c r="M41" s="1309">
        <v>37</v>
      </c>
      <c r="N41" s="672" t="s">
        <v>179</v>
      </c>
      <c r="O41" s="1856">
        <v>382</v>
      </c>
      <c r="P41" s="1853"/>
      <c r="Q41" s="1851">
        <v>0</v>
      </c>
      <c r="R41" s="1856">
        <v>3</v>
      </c>
      <c r="S41" s="1856">
        <v>0</v>
      </c>
      <c r="T41" s="1851">
        <f t="shared" si="2"/>
        <v>385</v>
      </c>
      <c r="U41" s="483">
        <v>123</v>
      </c>
      <c r="V41" s="482">
        <f t="shared" si="6"/>
        <v>2.5826331591234344E-2</v>
      </c>
      <c r="W41" s="1300" t="s">
        <v>1353</v>
      </c>
    </row>
    <row r="42" spans="1:27" s="669" customFormat="1" ht="21" customHeight="1">
      <c r="A42" s="685">
        <v>37</v>
      </c>
      <c r="B42" s="672" t="s">
        <v>109</v>
      </c>
      <c r="C42" s="695"/>
      <c r="D42" s="695"/>
      <c r="E42" s="694">
        <v>0</v>
      </c>
      <c r="F42" s="694">
        <v>0</v>
      </c>
      <c r="G42" s="694">
        <v>1022</v>
      </c>
      <c r="H42" s="694">
        <v>790</v>
      </c>
      <c r="I42" s="694">
        <f t="shared" si="4"/>
        <v>1812</v>
      </c>
      <c r="J42" s="483">
        <v>1022</v>
      </c>
      <c r="K42" s="482">
        <f t="shared" si="5"/>
        <v>0.16510722648270343</v>
      </c>
      <c r="L42" s="687" t="s">
        <v>1352</v>
      </c>
      <c r="M42" s="1309">
        <v>38</v>
      </c>
      <c r="N42" s="672" t="s">
        <v>1352</v>
      </c>
      <c r="O42" s="1856"/>
      <c r="P42" s="1853"/>
      <c r="Q42" s="1851">
        <v>0</v>
      </c>
      <c r="R42" s="1851">
        <v>1022</v>
      </c>
      <c r="S42" s="1856">
        <v>790</v>
      </c>
      <c r="T42" s="1851">
        <f t="shared" si="2"/>
        <v>1812</v>
      </c>
      <c r="U42" s="483">
        <v>1022</v>
      </c>
      <c r="V42" s="482">
        <f t="shared" si="6"/>
        <v>0.12155146193069256</v>
      </c>
      <c r="W42" s="1300" t="s">
        <v>137</v>
      </c>
    </row>
    <row r="43" spans="1:27" s="669" customFormat="1" ht="21" customHeight="1">
      <c r="A43" s="685"/>
      <c r="B43" s="684" t="s">
        <v>1350</v>
      </c>
      <c r="C43" s="693">
        <f t="shared" ref="C43:K43" si="7">SUM(C5:C42)</f>
        <v>302251</v>
      </c>
      <c r="D43" s="693">
        <f t="shared" si="7"/>
        <v>21133.620000000003</v>
      </c>
      <c r="E43" s="693">
        <f t="shared" si="7"/>
        <v>17538</v>
      </c>
      <c r="F43" s="693">
        <f t="shared" si="7"/>
        <v>5000</v>
      </c>
      <c r="G43" s="693">
        <f t="shared" si="7"/>
        <v>2556</v>
      </c>
      <c r="H43" s="693">
        <f t="shared" si="7"/>
        <v>748990</v>
      </c>
      <c r="I43" s="693">
        <f t="shared" si="7"/>
        <v>1097468.6200000001</v>
      </c>
      <c r="J43" s="692">
        <f t="shared" si="7"/>
        <v>215218.32</v>
      </c>
      <c r="K43" s="2126">
        <f t="shared" si="7"/>
        <v>100</v>
      </c>
      <c r="L43" s="690" t="s">
        <v>1351</v>
      </c>
      <c r="M43" s="1309"/>
      <c r="N43" s="684" t="s">
        <v>1351</v>
      </c>
      <c r="O43" s="1854">
        <f>SUM(O5:O42)</f>
        <v>695509</v>
      </c>
      <c r="P43" s="1854">
        <f>SUM(P5:P42)</f>
        <v>21133.620000000003</v>
      </c>
      <c r="Q43" s="1854">
        <f>SUM(Q5:Q42)</f>
        <v>22538</v>
      </c>
      <c r="R43" s="1854">
        <f>SUM(R5:R42)</f>
        <v>2556</v>
      </c>
      <c r="S43" s="1854">
        <f>SUM(S5:S42)</f>
        <v>748990</v>
      </c>
      <c r="T43" s="1854">
        <f>SUM(O43:S43)</f>
        <v>1490726.62</v>
      </c>
      <c r="U43" s="692">
        <f>SUM(U5:U42)</f>
        <v>245895.32</v>
      </c>
      <c r="V43" s="2126">
        <f>SUM(V5:V42)</f>
        <v>99.956588284443455</v>
      </c>
      <c r="W43" s="1312" t="s">
        <v>1350</v>
      </c>
      <c r="AA43" s="691"/>
    </row>
    <row r="44" spans="1:27" s="669" customFormat="1" ht="21" customHeight="1">
      <c r="A44" s="685"/>
      <c r="B44" s="684" t="s">
        <v>1348</v>
      </c>
      <c r="C44" s="480">
        <f t="shared" ref="C44:H44" si="8">C43/$I$43*100</f>
        <v>27.540741893832006</v>
      </c>
      <c r="D44" s="480">
        <f t="shared" si="8"/>
        <v>1.9256696378252711</v>
      </c>
      <c r="E44" s="480">
        <f t="shared" si="8"/>
        <v>1.5980411357911992</v>
      </c>
      <c r="F44" s="480">
        <f t="shared" si="8"/>
        <v>0.45559389206043988</v>
      </c>
      <c r="G44" s="480">
        <f t="shared" si="8"/>
        <v>0.23289959762129689</v>
      </c>
      <c r="H44" s="480">
        <f t="shared" si="8"/>
        <v>68.247053842869775</v>
      </c>
      <c r="I44" s="480"/>
      <c r="J44" s="480">
        <v>100</v>
      </c>
      <c r="K44" s="2126"/>
      <c r="L44" s="690" t="s">
        <v>1349</v>
      </c>
      <c r="M44" s="1309"/>
      <c r="N44" s="684" t="s">
        <v>1349</v>
      </c>
      <c r="O44" s="1855">
        <f>O43/$T$43*100</f>
        <v>46.655704048539761</v>
      </c>
      <c r="P44" s="1855">
        <f>P43/$T$43*100</f>
        <v>1.4176724099821871</v>
      </c>
      <c r="Q44" s="1855">
        <f>Q43/$T$43*100</f>
        <v>1.5118801594889342</v>
      </c>
      <c r="R44" s="1855">
        <f>R43/$T$43*100</f>
        <v>0.17146000921349347</v>
      </c>
      <c r="S44" s="1855">
        <f>S43/$T$43*100</f>
        <v>50.243283372775615</v>
      </c>
      <c r="T44" s="1855"/>
      <c r="U44" s="480">
        <v>100</v>
      </c>
      <c r="V44" s="2126"/>
      <c r="W44" s="1312" t="s">
        <v>1348</v>
      </c>
    </row>
    <row r="45" spans="1:27" s="669" customFormat="1" ht="21" customHeight="1">
      <c r="A45" s="689" t="s">
        <v>1347</v>
      </c>
      <c r="M45" s="1313" t="s">
        <v>1346</v>
      </c>
      <c r="W45" s="699"/>
    </row>
    <row r="46" spans="1:27" s="669" customFormat="1">
      <c r="A46" s="689" t="s">
        <v>1345</v>
      </c>
      <c r="M46" s="1313" t="s">
        <v>1345</v>
      </c>
      <c r="W46" s="699"/>
    </row>
    <row r="47" spans="1:27" ht="15.75" thickBot="1">
      <c r="A47" s="2127" t="s">
        <v>633</v>
      </c>
      <c r="B47" s="2127"/>
      <c r="C47" s="2127"/>
      <c r="D47" s="2127"/>
      <c r="E47" s="2127"/>
      <c r="F47" s="2127"/>
      <c r="G47" s="2127"/>
      <c r="H47" s="2127"/>
      <c r="M47" s="1306" t="s">
        <v>1344</v>
      </c>
      <c r="N47" s="1307"/>
      <c r="O47" s="1307"/>
      <c r="P47" s="1307"/>
      <c r="Q47" s="1307"/>
      <c r="R47" s="1307"/>
      <c r="S47" s="1307"/>
      <c r="T47" s="1307"/>
      <c r="U47" s="1307"/>
      <c r="V47" s="1307"/>
      <c r="W47" s="1308"/>
    </row>
    <row r="48" spans="1:27" ht="15.75" thickTop="1"/>
  </sheetData>
  <mergeCells count="9">
    <mergeCell ref="K43:K44"/>
    <mergeCell ref="V43:V44"/>
    <mergeCell ref="A47:H47"/>
    <mergeCell ref="A1:L1"/>
    <mergeCell ref="M1:W1"/>
    <mergeCell ref="A2:L2"/>
    <mergeCell ref="M2:W2"/>
    <mergeCell ref="I3:L3"/>
    <mergeCell ref="T3:W3"/>
  </mergeCells>
  <conditionalFormatting sqref="Y5:XFD44 A5:N41 A42:P43 Q5:Q6 P36 Q11:Q12 Q20:Q21 R42:R43 T5:W43 A44:W44 Q8:Q9 Q14:Q15 Q17:Q18 Q23:Q24 Q26:Q27 Q29:Q30 Q35:Q36 Q32:Q33 P38:Q39 P41 Q41:Q43">
    <cfRule type="expression" dxfId="85" priority="14">
      <formula>MOD(ROW(),3)=1</formula>
    </cfRule>
  </conditionalFormatting>
  <conditionalFormatting sqref="O7:S7">
    <cfRule type="expression" dxfId="84" priority="13">
      <formula>MOD(ROW(),3)=1</formula>
    </cfRule>
  </conditionalFormatting>
  <conditionalFormatting sqref="O10:S10">
    <cfRule type="expression" dxfId="83" priority="12">
      <formula>MOD(ROW(),3)=1</formula>
    </cfRule>
  </conditionalFormatting>
  <conditionalFormatting sqref="O13:S13">
    <cfRule type="expression" dxfId="82" priority="11">
      <formula>MOD(ROW(),3)=1</formula>
    </cfRule>
  </conditionalFormatting>
  <conditionalFormatting sqref="O16:S16">
    <cfRule type="expression" dxfId="81" priority="10">
      <formula>MOD(ROW(),3)=1</formula>
    </cfRule>
  </conditionalFormatting>
  <conditionalFormatting sqref="O19:S19">
    <cfRule type="expression" dxfId="80" priority="9">
      <formula>MOD(ROW(),3)=1</formula>
    </cfRule>
  </conditionalFormatting>
  <conditionalFormatting sqref="O22:S22">
    <cfRule type="expression" dxfId="79" priority="8">
      <formula>MOD(ROW(),3)=1</formula>
    </cfRule>
  </conditionalFormatting>
  <conditionalFormatting sqref="O25:S25">
    <cfRule type="expression" dxfId="78" priority="7">
      <formula>MOD(ROW(),3)=1</formula>
    </cfRule>
  </conditionalFormatting>
  <conditionalFormatting sqref="O28:S28">
    <cfRule type="expression" dxfId="77" priority="6">
      <formula>MOD(ROW(),3)=1</formula>
    </cfRule>
  </conditionalFormatting>
  <conditionalFormatting sqref="O34:S34">
    <cfRule type="expression" dxfId="76" priority="5">
      <formula>MOD(ROW(),3)=1</formula>
    </cfRule>
  </conditionalFormatting>
  <conditionalFormatting sqref="O31:S31">
    <cfRule type="expression" dxfId="75" priority="4">
      <formula>MOD(ROW(),3)=1</formula>
    </cfRule>
  </conditionalFormatting>
  <conditionalFormatting sqref="O37:S37">
    <cfRule type="expression" dxfId="74" priority="3">
      <formula>MOD(ROW(),3)=1</formula>
    </cfRule>
  </conditionalFormatting>
  <conditionalFormatting sqref="O40:S40">
    <cfRule type="expression" dxfId="73" priority="2">
      <formula>MOD(ROW(),3)=1</formula>
    </cfRule>
  </conditionalFormatting>
  <conditionalFormatting sqref="S43">
    <cfRule type="expression" dxfId="72" priority="1">
      <formula>MOD(ROW(),3)=1</formula>
    </cfRule>
  </conditionalFormatting>
  <printOptions horizontalCentered="1" verticalCentered="1"/>
  <pageMargins left="0.35433070866141736" right="0.70866141732283472" top="0.51181102362204722" bottom="0.19685039370078741" header="0.31496062992125984" footer="0.31496062992125984"/>
  <pageSetup paperSize="9" scale="69" orientation="portrait" r:id="rId1"/>
  <rowBreaks count="1" manualBreakCount="1">
    <brk id="23" min="12" max="23" man="1"/>
  </rowBreaks>
  <colBreaks count="1" manualBreakCount="1">
    <brk id="12" min="1" max="47" man="1"/>
  </col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63A12B-FACD-4AA1-BEB8-7702495F7D91}">
  <dimension ref="A1:X85"/>
  <sheetViews>
    <sheetView showZeros="0" view="pageBreakPreview" zoomScaleSheetLayoutView="100" workbookViewId="0">
      <selection activeCell="S17" sqref="S17"/>
    </sheetView>
  </sheetViews>
  <sheetFormatPr defaultColWidth="8.85546875" defaultRowHeight="15"/>
  <cols>
    <col min="1" max="1" width="20.5703125" style="1082" customWidth="1"/>
    <col min="2" max="2" width="15" style="1082" customWidth="1"/>
    <col min="3" max="3" width="11.140625" style="1084" hidden="1" customWidth="1"/>
    <col min="4" max="8" width="11.140625" style="1082" hidden="1" customWidth="1"/>
    <col min="9" max="9" width="11.140625" style="1083" hidden="1" customWidth="1"/>
    <col min="10" max="12" width="11.140625" style="1082" hidden="1" customWidth="1"/>
    <col min="13" max="19" width="11.140625" style="1082" customWidth="1"/>
    <col min="20" max="20" width="19.42578125" style="1082" customWidth="1"/>
    <col min="21" max="21" width="15.42578125" style="1082" customWidth="1"/>
    <col min="22" max="16384" width="8.85546875" style="1082"/>
  </cols>
  <sheetData>
    <row r="1" spans="1:21" s="1087" customFormat="1" ht="32.25" customHeight="1" thickTop="1">
      <c r="A1" s="1880" t="s">
        <v>2514</v>
      </c>
      <c r="B1" s="1881"/>
      <c r="C1" s="1881"/>
      <c r="D1" s="1881"/>
      <c r="E1" s="1881"/>
      <c r="F1" s="1881"/>
      <c r="G1" s="1881"/>
      <c r="H1" s="1881"/>
      <c r="I1" s="1881"/>
      <c r="J1" s="1881"/>
      <c r="K1" s="1881"/>
      <c r="L1" s="1881"/>
      <c r="M1" s="1881"/>
      <c r="N1" s="1881"/>
      <c r="O1" s="1881"/>
      <c r="P1" s="1881"/>
      <c r="Q1" s="1881"/>
      <c r="R1" s="1881"/>
      <c r="S1" s="1881"/>
      <c r="T1" s="1881"/>
      <c r="U1" s="1882"/>
    </row>
    <row r="2" spans="1:21" ht="8.25" customHeight="1">
      <c r="A2" s="1550"/>
      <c r="B2" s="1551"/>
      <c r="C2" s="1551"/>
      <c r="D2" s="1551"/>
      <c r="E2" s="1551"/>
      <c r="F2" s="1551"/>
      <c r="G2" s="1551"/>
      <c r="H2" s="1551"/>
      <c r="I2" s="1551"/>
      <c r="J2" s="1551"/>
      <c r="K2" s="1551"/>
      <c r="L2" s="1551"/>
      <c r="M2" s="1551"/>
      <c r="N2" s="1551"/>
      <c r="O2" s="1551"/>
      <c r="P2" s="1551"/>
      <c r="Q2" s="1551"/>
      <c r="R2" s="1551"/>
      <c r="S2" s="1551"/>
      <c r="T2" s="1575"/>
      <c r="U2" s="1179"/>
    </row>
    <row r="3" spans="1:21" s="1087" customFormat="1" ht="38.25">
      <c r="A3" s="1180" t="s">
        <v>2513</v>
      </c>
      <c r="B3" s="1099" t="s">
        <v>2512</v>
      </c>
      <c r="C3" s="1099" t="s">
        <v>485</v>
      </c>
      <c r="D3" s="1099" t="s">
        <v>484</v>
      </c>
      <c r="E3" s="1099" t="s">
        <v>2511</v>
      </c>
      <c r="F3" s="1099" t="s">
        <v>2510</v>
      </c>
      <c r="G3" s="1099" t="s">
        <v>481</v>
      </c>
      <c r="H3" s="1099" t="s">
        <v>2509</v>
      </c>
      <c r="I3" s="1099" t="s">
        <v>2</v>
      </c>
      <c r="J3" s="1100" t="s">
        <v>2</v>
      </c>
      <c r="K3" s="1100" t="s">
        <v>3</v>
      </c>
      <c r="L3" s="1099" t="s">
        <v>13</v>
      </c>
      <c r="M3" s="1099" t="s">
        <v>41</v>
      </c>
      <c r="N3" s="1099" t="s">
        <v>42</v>
      </c>
      <c r="O3" s="1099" t="s">
        <v>129</v>
      </c>
      <c r="P3" s="1099" t="s">
        <v>142</v>
      </c>
      <c r="Q3" s="1099" t="s">
        <v>276</v>
      </c>
      <c r="R3" s="1099" t="s">
        <v>522</v>
      </c>
      <c r="S3" s="1099" t="s">
        <v>652</v>
      </c>
      <c r="T3" s="1099" t="s">
        <v>1266</v>
      </c>
      <c r="U3" s="1181" t="s">
        <v>2508</v>
      </c>
    </row>
    <row r="4" spans="1:21" s="1087" customFormat="1" ht="16.149999999999999" customHeight="1">
      <c r="A4" s="1182" t="s">
        <v>2507</v>
      </c>
      <c r="B4" s="1090"/>
      <c r="C4" s="1090"/>
      <c r="D4" s="1090"/>
      <c r="E4" s="1090"/>
      <c r="F4" s="1090"/>
      <c r="G4" s="1090"/>
      <c r="H4" s="1090"/>
      <c r="I4" s="1098"/>
      <c r="J4" s="1090"/>
      <c r="K4" s="1090"/>
      <c r="L4" s="1090"/>
      <c r="M4" s="1090"/>
      <c r="N4" s="1090"/>
      <c r="O4" s="1090"/>
      <c r="P4" s="1090"/>
      <c r="Q4" s="1090"/>
      <c r="R4" s="1090"/>
      <c r="S4" s="1090"/>
      <c r="T4" s="1090"/>
      <c r="U4" s="1183" t="s">
        <v>2506</v>
      </c>
    </row>
    <row r="5" spans="1:21" s="1087" customFormat="1" ht="16.149999999999999" customHeight="1">
      <c r="A5" s="1184" t="s">
        <v>2505</v>
      </c>
      <c r="B5" s="1091" t="s">
        <v>1739</v>
      </c>
      <c r="C5" s="1089">
        <v>407039</v>
      </c>
      <c r="D5" s="1095">
        <v>430832</v>
      </c>
      <c r="E5" s="1095">
        <v>457082</v>
      </c>
      <c r="F5" s="1095">
        <v>492757</v>
      </c>
      <c r="G5" s="1095">
        <v>532042</v>
      </c>
      <c r="H5" s="1089">
        <v>532694</v>
      </c>
      <c r="I5" s="1095">
        <v>539950</v>
      </c>
      <c r="J5" s="1095">
        <v>539950</v>
      </c>
      <c r="K5" s="1095">
        <v>556402</v>
      </c>
      <c r="L5" s="1095">
        <v>565765</v>
      </c>
      <c r="M5" s="1089">
        <v>609179</v>
      </c>
      <c r="N5" s="1089">
        <v>639230</v>
      </c>
      <c r="O5" s="1094">
        <v>657868</v>
      </c>
      <c r="P5" s="1094">
        <v>675400</v>
      </c>
      <c r="Q5" s="1094">
        <v>728718</v>
      </c>
      <c r="R5" s="1094">
        <v>730874</v>
      </c>
      <c r="S5" s="1094">
        <v>716084</v>
      </c>
      <c r="T5" s="1094">
        <v>777306</v>
      </c>
      <c r="U5" s="1185" t="s">
        <v>886</v>
      </c>
    </row>
    <row r="6" spans="1:21" s="1087" customFormat="1" ht="16.149999999999999" customHeight="1">
      <c r="A6" s="1184" t="s">
        <v>2504</v>
      </c>
      <c r="B6" s="1091" t="s">
        <v>1739</v>
      </c>
      <c r="C6" s="1089">
        <v>30066</v>
      </c>
      <c r="D6" s="1095">
        <v>31285</v>
      </c>
      <c r="E6" s="1095">
        <v>33980</v>
      </c>
      <c r="F6" s="1095">
        <v>32421</v>
      </c>
      <c r="G6" s="1095">
        <v>34071</v>
      </c>
      <c r="H6" s="1089">
        <v>37733</v>
      </c>
      <c r="I6" s="1095">
        <v>42332</v>
      </c>
      <c r="J6" s="1095">
        <v>42332</v>
      </c>
      <c r="K6" s="1095">
        <v>46453</v>
      </c>
      <c r="L6" s="1095">
        <v>44271</v>
      </c>
      <c r="M6" s="1089">
        <v>48270</v>
      </c>
      <c r="N6" s="1089">
        <v>43842</v>
      </c>
      <c r="O6" s="1094">
        <v>45230</v>
      </c>
      <c r="P6" s="1094">
        <v>46644</v>
      </c>
      <c r="Q6" s="1094">
        <v>44282</v>
      </c>
      <c r="R6" s="1094">
        <v>42096</v>
      </c>
      <c r="S6" s="1094">
        <v>37895</v>
      </c>
      <c r="T6" s="1094">
        <v>47371</v>
      </c>
      <c r="U6" s="1185" t="s">
        <v>884</v>
      </c>
    </row>
    <row r="7" spans="1:21" s="1087" customFormat="1" ht="16.149999999999999" customHeight="1">
      <c r="A7" s="1184" t="s">
        <v>2503</v>
      </c>
      <c r="B7" s="1090" t="s">
        <v>2502</v>
      </c>
      <c r="C7" s="1089">
        <v>32202</v>
      </c>
      <c r="D7" s="1095">
        <v>31747</v>
      </c>
      <c r="E7" s="1095">
        <v>32417</v>
      </c>
      <c r="F7" s="1095">
        <v>32845</v>
      </c>
      <c r="G7" s="1095">
        <v>47496</v>
      </c>
      <c r="H7" s="1089">
        <v>52219</v>
      </c>
      <c r="I7" s="1095">
        <v>47559</v>
      </c>
      <c r="J7" s="1095">
        <v>47559</v>
      </c>
      <c r="K7" s="1095">
        <v>40679</v>
      </c>
      <c r="L7" s="1095">
        <v>35407</v>
      </c>
      <c r="M7" s="1089">
        <v>33659</v>
      </c>
      <c r="N7" s="1097">
        <v>32249</v>
      </c>
      <c r="O7" s="1094">
        <v>31897</v>
      </c>
      <c r="P7" s="1094">
        <v>32649</v>
      </c>
      <c r="Q7" s="1094">
        <v>32873</v>
      </c>
      <c r="R7" s="1094">
        <v>31184</v>
      </c>
      <c r="S7" s="1096">
        <v>28673</v>
      </c>
      <c r="T7" s="1094">
        <v>33131</v>
      </c>
      <c r="U7" s="1185" t="s">
        <v>2501</v>
      </c>
    </row>
    <row r="8" spans="1:21" s="1087" customFormat="1" ht="16.149999999999999" customHeight="1">
      <c r="A8" s="1184" t="s">
        <v>2500</v>
      </c>
      <c r="B8" s="1091" t="s">
        <v>1739</v>
      </c>
      <c r="C8" s="1089">
        <v>32190</v>
      </c>
      <c r="D8" s="1095">
        <v>33988</v>
      </c>
      <c r="E8" s="1095">
        <v>34118</v>
      </c>
      <c r="F8" s="1095">
        <v>33508</v>
      </c>
      <c r="G8" s="1095">
        <v>33690</v>
      </c>
      <c r="H8" s="1089">
        <v>37684</v>
      </c>
      <c r="I8" s="1095">
        <v>38090</v>
      </c>
      <c r="J8" s="1095">
        <v>38090</v>
      </c>
      <c r="K8" s="1095">
        <v>37862</v>
      </c>
      <c r="L8" s="1095">
        <v>37788</v>
      </c>
      <c r="M8" s="1089">
        <v>37462</v>
      </c>
      <c r="N8" s="1089">
        <v>36941</v>
      </c>
      <c r="O8" s="1094">
        <v>36009</v>
      </c>
      <c r="P8" s="1094">
        <v>35684</v>
      </c>
      <c r="Q8" s="1094">
        <v>34203</v>
      </c>
      <c r="R8" s="1094">
        <v>32170</v>
      </c>
      <c r="S8" s="1094">
        <v>30493</v>
      </c>
      <c r="T8" s="1094">
        <v>29690</v>
      </c>
      <c r="U8" s="1185" t="s">
        <v>2499</v>
      </c>
    </row>
    <row r="9" spans="1:21" s="1087" customFormat="1" ht="16.149999999999999" customHeight="1">
      <c r="A9" s="1883" t="s">
        <v>2498</v>
      </c>
      <c r="B9" s="1884"/>
      <c r="C9" s="1884"/>
      <c r="D9" s="1884"/>
      <c r="E9" s="1884"/>
      <c r="F9" s="1884"/>
      <c r="G9" s="1884"/>
      <c r="H9" s="1884"/>
      <c r="I9" s="1884"/>
      <c r="J9" s="1884"/>
      <c r="K9" s="1884"/>
      <c r="L9" s="1884"/>
      <c r="M9" s="1884"/>
      <c r="N9" s="1884"/>
      <c r="O9" s="1884"/>
      <c r="P9" s="1884"/>
      <c r="Q9" s="1884"/>
      <c r="R9" s="1884"/>
      <c r="S9" s="1884"/>
      <c r="T9" s="1093"/>
      <c r="U9" s="1183" t="s">
        <v>2497</v>
      </c>
    </row>
    <row r="10" spans="1:21" s="1087" customFormat="1" ht="16.149999999999999" customHeight="1">
      <c r="A10" s="1184" t="s">
        <v>2224</v>
      </c>
      <c r="B10" s="1090" t="s">
        <v>2392</v>
      </c>
      <c r="C10" s="1089">
        <v>12595803</v>
      </c>
      <c r="D10" s="1089">
        <v>15732535</v>
      </c>
      <c r="E10" s="1089">
        <v>22624960</v>
      </c>
      <c r="F10" s="1089">
        <v>15460202</v>
      </c>
      <c r="G10" s="1089">
        <v>14124093</v>
      </c>
      <c r="H10" s="1089">
        <v>12722820</v>
      </c>
      <c r="I10" s="1089">
        <v>12877394</v>
      </c>
      <c r="J10" s="1089">
        <v>13599566</v>
      </c>
      <c r="K10" s="1089">
        <v>16611610</v>
      </c>
      <c r="L10" s="1089">
        <v>22319148</v>
      </c>
      <c r="M10" s="1089">
        <v>22493671</v>
      </c>
      <c r="N10" s="1089">
        <v>28123789</v>
      </c>
      <c r="O10" s="1089">
        <v>24745487</v>
      </c>
      <c r="P10" s="1089">
        <v>22786106</v>
      </c>
      <c r="Q10" s="1089">
        <v>23689619</v>
      </c>
      <c r="R10" s="1089">
        <v>21825227</v>
      </c>
      <c r="S10" s="1089">
        <v>20380548</v>
      </c>
      <c r="T10" s="1089">
        <v>22493947</v>
      </c>
      <c r="U10" s="1185" t="s">
        <v>2225</v>
      </c>
    </row>
    <row r="11" spans="1:21" s="1087" customFormat="1" ht="16.149999999999999" customHeight="1">
      <c r="A11" s="1184" t="s">
        <v>2236</v>
      </c>
      <c r="B11" s="1090" t="s">
        <v>2392</v>
      </c>
      <c r="C11" s="1089">
        <v>3714284</v>
      </c>
      <c r="D11" s="1089">
        <v>5295551</v>
      </c>
      <c r="E11" s="1089">
        <v>4872847</v>
      </c>
      <c r="F11" s="1089">
        <v>4073479</v>
      </c>
      <c r="G11" s="1089">
        <v>3425580</v>
      </c>
      <c r="H11" s="1089">
        <v>4325699</v>
      </c>
      <c r="I11" s="1089">
        <v>3764120</v>
      </c>
      <c r="J11" s="1089">
        <v>2923435</v>
      </c>
      <c r="K11" s="1089">
        <v>2833895</v>
      </c>
      <c r="L11" s="1089">
        <v>2878320</v>
      </c>
      <c r="M11" s="1089">
        <v>2164163</v>
      </c>
      <c r="N11" s="1089">
        <v>2915584</v>
      </c>
      <c r="O11" s="1089">
        <v>3727780</v>
      </c>
      <c r="P11" s="1089">
        <v>3480941</v>
      </c>
      <c r="Q11" s="1089">
        <v>3970690.96</v>
      </c>
      <c r="R11" s="1089">
        <v>3929260.44</v>
      </c>
      <c r="S11" s="1089">
        <v>2830412.8</v>
      </c>
      <c r="T11" s="1089">
        <v>3785624.61</v>
      </c>
      <c r="U11" s="1185" t="s">
        <v>2237</v>
      </c>
    </row>
    <row r="12" spans="1:21" s="1087" customFormat="1" ht="16.149999999999999" customHeight="1">
      <c r="A12" s="1184" t="s">
        <v>2496</v>
      </c>
      <c r="B12" s="1090" t="s">
        <v>2392</v>
      </c>
      <c r="C12" s="1089">
        <v>2642706</v>
      </c>
      <c r="D12" s="1089">
        <v>3273906</v>
      </c>
      <c r="E12" s="1089">
        <v>3242371</v>
      </c>
      <c r="F12" s="1089">
        <v>3452406</v>
      </c>
      <c r="G12" s="1089">
        <v>3271169</v>
      </c>
      <c r="H12" s="1089">
        <v>3601984</v>
      </c>
      <c r="I12" s="1089">
        <v>3478189</v>
      </c>
      <c r="J12" s="1089">
        <v>3479189</v>
      </c>
      <c r="K12" s="1089">
        <v>3635751</v>
      </c>
      <c r="L12" s="1089">
        <v>3777772</v>
      </c>
      <c r="M12" s="1089">
        <v>3505348</v>
      </c>
      <c r="N12" s="1089">
        <v>3907823</v>
      </c>
      <c r="O12" s="1089">
        <v>3846427</v>
      </c>
      <c r="P12" s="1089">
        <v>3678002</v>
      </c>
      <c r="Q12" s="1089">
        <v>4134702</v>
      </c>
      <c r="R12" s="1089">
        <v>3952472</v>
      </c>
      <c r="S12" s="1089">
        <v>3272915</v>
      </c>
      <c r="T12" s="1089">
        <v>3569632</v>
      </c>
      <c r="U12" s="1185" t="s">
        <v>2495</v>
      </c>
    </row>
    <row r="13" spans="1:21" s="1087" customFormat="1" ht="16.149999999999999" customHeight="1">
      <c r="A13" s="1184" t="s">
        <v>2494</v>
      </c>
      <c r="B13" s="1090" t="s">
        <v>2392</v>
      </c>
      <c r="C13" s="1089">
        <v>125392</v>
      </c>
      <c r="D13" s="1089">
        <v>149584</v>
      </c>
      <c r="E13" s="1089">
        <v>216966</v>
      </c>
      <c r="F13" s="1089">
        <v>137514</v>
      </c>
      <c r="G13" s="1089">
        <v>124577</v>
      </c>
      <c r="H13" s="1089">
        <v>136856</v>
      </c>
      <c r="I13" s="1089">
        <v>130458</v>
      </c>
      <c r="J13" s="1089">
        <v>130456</v>
      </c>
      <c r="K13" s="1089">
        <v>123654</v>
      </c>
      <c r="L13" s="1089">
        <v>139307</v>
      </c>
      <c r="M13" s="1089">
        <v>107604</v>
      </c>
      <c r="N13" s="1089">
        <v>151837</v>
      </c>
      <c r="O13" s="1089">
        <v>134787</v>
      </c>
      <c r="P13" s="1089">
        <v>141989</v>
      </c>
      <c r="Q13" s="1089">
        <v>143668.402</v>
      </c>
      <c r="R13" s="1089">
        <v>124586.10800000001</v>
      </c>
      <c r="S13" s="1089">
        <v>108718.07</v>
      </c>
      <c r="T13" s="1089">
        <v>114420.79700000001</v>
      </c>
      <c r="U13" s="1185" t="s">
        <v>2493</v>
      </c>
    </row>
    <row r="14" spans="1:21" s="1087" customFormat="1" ht="16.149999999999999" customHeight="1">
      <c r="A14" s="1184" t="s">
        <v>2492</v>
      </c>
      <c r="B14" s="1090" t="s">
        <v>2392</v>
      </c>
      <c r="C14" s="1089">
        <v>479353</v>
      </c>
      <c r="D14" s="1089">
        <v>512609</v>
      </c>
      <c r="E14" s="1089">
        <v>681243</v>
      </c>
      <c r="F14" s="1089">
        <v>587215</v>
      </c>
      <c r="G14" s="1089">
        <v>517520</v>
      </c>
      <c r="H14" s="1089">
        <v>741522</v>
      </c>
      <c r="I14" s="1089">
        <v>492192</v>
      </c>
      <c r="J14" s="1089">
        <v>491562</v>
      </c>
      <c r="K14" s="1089">
        <v>502831</v>
      </c>
      <c r="L14" s="1089">
        <v>420429</v>
      </c>
      <c r="M14" s="1089">
        <v>447278</v>
      </c>
      <c r="N14" s="1089">
        <v>562956</v>
      </c>
      <c r="O14" s="1089">
        <v>582280</v>
      </c>
      <c r="P14" s="1089">
        <v>549683</v>
      </c>
      <c r="Q14" s="1089">
        <v>567291</v>
      </c>
      <c r="R14" s="1089">
        <v>595511</v>
      </c>
      <c r="S14" s="1089">
        <v>437669</v>
      </c>
      <c r="T14" s="1089">
        <v>491160</v>
      </c>
      <c r="U14" s="1185" t="s">
        <v>2491</v>
      </c>
    </row>
    <row r="15" spans="1:21" s="1087" customFormat="1" ht="16.149999999999999" customHeight="1">
      <c r="A15" s="1184" t="s">
        <v>2490</v>
      </c>
      <c r="B15" s="1090" t="s">
        <v>2436</v>
      </c>
      <c r="C15" s="1089"/>
      <c r="D15" s="1089"/>
      <c r="E15" s="1089"/>
      <c r="F15" s="1089"/>
      <c r="G15" s="1089"/>
      <c r="H15" s="1089"/>
      <c r="I15" s="1089"/>
      <c r="J15" s="1089"/>
      <c r="K15" s="1089"/>
      <c r="L15" s="1089"/>
      <c r="M15" s="1089"/>
      <c r="N15" s="1089"/>
      <c r="O15" s="1089">
        <v>1595</v>
      </c>
      <c r="P15" s="1089">
        <v>1651</v>
      </c>
      <c r="Q15" s="1089">
        <v>1672.1589999999999</v>
      </c>
      <c r="R15" s="1089">
        <v>1742.0530000000001</v>
      </c>
      <c r="S15" s="1089">
        <v>1126.7329999999999</v>
      </c>
      <c r="T15" s="1089">
        <v>1250.5239999999999</v>
      </c>
      <c r="U15" s="1185" t="s">
        <v>2489</v>
      </c>
    </row>
    <row r="16" spans="1:21" s="1087" customFormat="1" ht="16.149999999999999" customHeight="1">
      <c r="A16" s="1184" t="s">
        <v>2488</v>
      </c>
      <c r="B16" s="1090" t="s">
        <v>2436</v>
      </c>
      <c r="C16" s="1089">
        <v>2880</v>
      </c>
      <c r="D16" s="1089">
        <v>2361</v>
      </c>
      <c r="E16" s="1089">
        <v>2936</v>
      </c>
      <c r="F16" s="1089">
        <v>2438</v>
      </c>
      <c r="G16" s="1089">
        <v>2084</v>
      </c>
      <c r="H16" s="1089">
        <v>2399</v>
      </c>
      <c r="I16" s="1089">
        <v>2192</v>
      </c>
      <c r="J16" s="1089">
        <v>2194</v>
      </c>
      <c r="K16" s="1089">
        <v>1588</v>
      </c>
      <c r="L16" s="1089">
        <v>1564</v>
      </c>
      <c r="M16" s="1089">
        <v>1441</v>
      </c>
      <c r="N16" s="1089">
        <v>1323</v>
      </c>
      <c r="O16" s="1089">
        <v>1595</v>
      </c>
      <c r="P16" s="1089">
        <v>1651</v>
      </c>
      <c r="Q16" s="1089">
        <v>1672.1589999999999</v>
      </c>
      <c r="R16" s="1089">
        <v>1742.0530000000001</v>
      </c>
      <c r="S16" s="1089">
        <v>1126.7329999999999</v>
      </c>
      <c r="T16" s="1089">
        <v>1250.5239999999999</v>
      </c>
      <c r="U16" s="1185" t="s">
        <v>2487</v>
      </c>
    </row>
    <row r="17" spans="1:24" s="1087" customFormat="1" ht="16.149999999999999" customHeight="1">
      <c r="A17" s="1184" t="s">
        <v>2486</v>
      </c>
      <c r="B17" s="1091" t="s">
        <v>1739</v>
      </c>
      <c r="C17" s="1089">
        <v>165230</v>
      </c>
      <c r="D17" s="1089">
        <v>187696</v>
      </c>
      <c r="E17" s="1089">
        <v>213246</v>
      </c>
      <c r="F17" s="1089">
        <v>212960</v>
      </c>
      <c r="G17" s="1089">
        <v>218553</v>
      </c>
      <c r="H17" s="1089">
        <v>207157</v>
      </c>
      <c r="I17" s="1089">
        <v>167289</v>
      </c>
      <c r="J17" s="1089">
        <v>168582</v>
      </c>
      <c r="K17" s="1089">
        <v>136618</v>
      </c>
      <c r="L17" s="1089">
        <v>152183</v>
      </c>
      <c r="M17" s="1089">
        <v>129321</v>
      </c>
      <c r="N17" s="1089">
        <v>158108</v>
      </c>
      <c r="O17" s="1089">
        <v>194584</v>
      </c>
      <c r="P17" s="1089">
        <v>201426</v>
      </c>
      <c r="Q17" s="1089">
        <v>206494.81547999999</v>
      </c>
      <c r="R17" s="1089">
        <v>244082.70463999998</v>
      </c>
      <c r="S17" s="1089">
        <v>205041.9</v>
      </c>
      <c r="T17" s="1089">
        <v>253974.06400000001</v>
      </c>
      <c r="U17" s="1185" t="s">
        <v>2485</v>
      </c>
    </row>
    <row r="18" spans="1:24" s="1087" customFormat="1" ht="16.149999999999999" customHeight="1">
      <c r="A18" s="1184" t="s">
        <v>2484</v>
      </c>
      <c r="B18" s="1090" t="s">
        <v>2392</v>
      </c>
      <c r="C18" s="1089">
        <v>4801184</v>
      </c>
      <c r="D18" s="1089">
        <v>5139915</v>
      </c>
      <c r="E18" s="1089">
        <v>5783099</v>
      </c>
      <c r="F18" s="1089">
        <v>6680698</v>
      </c>
      <c r="G18" s="1089">
        <v>7101872</v>
      </c>
      <c r="H18" s="1089">
        <v>7539999</v>
      </c>
      <c r="I18" s="1089">
        <v>8041881</v>
      </c>
      <c r="J18" s="1089">
        <v>8041881</v>
      </c>
      <c r="K18" s="1089">
        <v>8633411</v>
      </c>
      <c r="L18" s="1089">
        <v>9281807</v>
      </c>
      <c r="M18" s="1089">
        <v>9362659</v>
      </c>
      <c r="N18" s="1089">
        <v>10453038</v>
      </c>
      <c r="O18" s="1089">
        <v>11881238</v>
      </c>
      <c r="P18" s="1089">
        <v>12613866</v>
      </c>
      <c r="Q18" s="1089">
        <v>13752295</v>
      </c>
      <c r="R18" s="1089">
        <v>14479032</v>
      </c>
      <c r="S18" s="1089">
        <v>15455342</v>
      </c>
      <c r="T18" s="1089">
        <v>16338461</v>
      </c>
      <c r="U18" s="1185" t="s">
        <v>2483</v>
      </c>
    </row>
    <row r="19" spans="1:24" s="1087" customFormat="1" ht="16.149999999999999" customHeight="1">
      <c r="A19" s="1184" t="s">
        <v>2482</v>
      </c>
      <c r="B19" s="1090" t="s">
        <v>2392</v>
      </c>
      <c r="C19" s="1089">
        <v>95738</v>
      </c>
      <c r="D19" s="1089">
        <v>107334</v>
      </c>
      <c r="E19" s="1089">
        <v>125755</v>
      </c>
      <c r="F19" s="1089">
        <v>133768</v>
      </c>
      <c r="G19" s="1089">
        <v>133921</v>
      </c>
      <c r="H19" s="1089">
        <v>147625</v>
      </c>
      <c r="I19" s="1089">
        <v>161157</v>
      </c>
      <c r="J19" s="1089">
        <v>161854</v>
      </c>
      <c r="K19" s="1089">
        <v>184486</v>
      </c>
      <c r="L19" s="1089">
        <v>194426</v>
      </c>
      <c r="M19" s="1089">
        <v>197668</v>
      </c>
      <c r="N19" s="1089">
        <v>261857</v>
      </c>
      <c r="O19" s="1089">
        <v>268047</v>
      </c>
      <c r="P19" s="1089">
        <v>306398</v>
      </c>
      <c r="Q19" s="1089">
        <v>358369.10499999998</v>
      </c>
      <c r="R19" s="1089">
        <v>351746.41</v>
      </c>
      <c r="S19" s="1089">
        <v>376922.92</v>
      </c>
      <c r="T19" s="1089">
        <v>368040.29499999998</v>
      </c>
      <c r="U19" s="1185" t="s">
        <v>2481</v>
      </c>
    </row>
    <row r="20" spans="1:24" s="1087" customFormat="1" ht="16.149999999999999" customHeight="1">
      <c r="A20" s="1184" t="s">
        <v>2480</v>
      </c>
      <c r="B20" s="1090" t="s">
        <v>2392</v>
      </c>
      <c r="C20" s="1089">
        <v>889007</v>
      </c>
      <c r="D20" s="1089">
        <v>947387</v>
      </c>
      <c r="E20" s="1089">
        <v>1035828</v>
      </c>
      <c r="F20" s="1089">
        <v>1224077</v>
      </c>
      <c r="G20" s="1089">
        <v>1279880</v>
      </c>
      <c r="H20" s="1089">
        <v>1427231</v>
      </c>
      <c r="I20" s="1089">
        <v>1412291</v>
      </c>
      <c r="J20" s="1089">
        <v>1414009</v>
      </c>
      <c r="K20" s="1089">
        <v>1492781</v>
      </c>
      <c r="L20" s="1089">
        <v>1490662</v>
      </c>
      <c r="M20" s="1089">
        <v>1489374</v>
      </c>
      <c r="N20" s="1089">
        <v>1473811</v>
      </c>
      <c r="O20" s="1089">
        <v>1484244</v>
      </c>
      <c r="P20" s="1089">
        <v>1539657</v>
      </c>
      <c r="Q20" s="1089">
        <v>1456804.01</v>
      </c>
      <c r="R20" s="1089">
        <v>1446824.38</v>
      </c>
      <c r="S20" s="1089">
        <v>1513996.1</v>
      </c>
      <c r="T20" s="1089">
        <v>1594086.52</v>
      </c>
      <c r="U20" s="1185" t="s">
        <v>2479</v>
      </c>
    </row>
    <row r="21" spans="1:24" s="1087" customFormat="1" ht="16.149999999999999" customHeight="1">
      <c r="A21" s="1184" t="s">
        <v>2310</v>
      </c>
      <c r="B21" s="1090" t="s">
        <v>2392</v>
      </c>
      <c r="C21" s="1089">
        <v>1906353</v>
      </c>
      <c r="D21" s="1089">
        <v>2115507</v>
      </c>
      <c r="E21" s="1089">
        <v>2696980</v>
      </c>
      <c r="F21" s="1089">
        <v>2789025</v>
      </c>
      <c r="G21" s="1089">
        <v>2491950</v>
      </c>
      <c r="H21" s="1089">
        <v>3056385</v>
      </c>
      <c r="I21" s="1089">
        <v>2349300</v>
      </c>
      <c r="J21" s="1089">
        <v>2411871</v>
      </c>
      <c r="K21" s="1089">
        <v>2342169</v>
      </c>
      <c r="L21" s="1089">
        <v>2626291</v>
      </c>
      <c r="M21" s="1089">
        <v>2369481</v>
      </c>
      <c r="N21" s="1089">
        <v>2166947</v>
      </c>
      <c r="O21" s="1089">
        <v>2395134</v>
      </c>
      <c r="P21" s="1089">
        <v>2599815</v>
      </c>
      <c r="Q21" s="1089">
        <v>2832314.1630000002</v>
      </c>
      <c r="R21" s="1089">
        <v>2910185.608</v>
      </c>
      <c r="S21" s="1089">
        <v>2703313.1</v>
      </c>
      <c r="T21" s="1089">
        <v>2695990.59</v>
      </c>
      <c r="U21" s="1185" t="s">
        <v>2311</v>
      </c>
    </row>
    <row r="22" spans="1:24" s="1087" customFormat="1" ht="16.149999999999999" customHeight="1">
      <c r="A22" s="1184" t="s">
        <v>2355</v>
      </c>
      <c r="B22" s="1090" t="s">
        <v>2436</v>
      </c>
      <c r="C22" s="1089">
        <v>27961</v>
      </c>
      <c r="D22" s="1089">
        <v>53271</v>
      </c>
      <c r="E22" s="1089">
        <v>80697</v>
      </c>
      <c r="F22" s="1089">
        <v>105284</v>
      </c>
      <c r="G22" s="1089">
        <v>138780</v>
      </c>
      <c r="H22" s="1089">
        <v>148303</v>
      </c>
      <c r="I22" s="1089">
        <v>207142</v>
      </c>
      <c r="J22" s="1089">
        <v>207144</v>
      </c>
      <c r="K22" s="1089">
        <v>374046</v>
      </c>
      <c r="L22" s="1089">
        <v>349774</v>
      </c>
      <c r="M22" s="1089">
        <v>327647</v>
      </c>
      <c r="N22" s="1089">
        <v>426443</v>
      </c>
      <c r="O22" s="1089">
        <v>460811</v>
      </c>
      <c r="P22" s="1089">
        <v>557691</v>
      </c>
      <c r="Q22" s="1089">
        <v>679385.93</v>
      </c>
      <c r="R22" s="1089">
        <v>609340.1</v>
      </c>
      <c r="S22" s="1089">
        <v>705795.52</v>
      </c>
      <c r="T22" s="1089">
        <v>647139.63899999997</v>
      </c>
      <c r="U22" s="1185" t="s">
        <v>2356</v>
      </c>
    </row>
    <row r="23" spans="1:24" s="1087" customFormat="1" ht="16.149999999999999" customHeight="1">
      <c r="A23" s="1184" t="s">
        <v>2478</v>
      </c>
      <c r="B23" s="1090" t="s">
        <v>2436</v>
      </c>
      <c r="C23" s="1089">
        <v>98734</v>
      </c>
      <c r="D23" s="1089">
        <v>100835</v>
      </c>
      <c r="E23" s="1089">
        <v>63218</v>
      </c>
      <c r="F23" s="1089">
        <v>59778</v>
      </c>
      <c r="G23" s="1089">
        <v>599016</v>
      </c>
      <c r="H23" s="1089">
        <v>60643</v>
      </c>
      <c r="I23" s="1089">
        <v>48971</v>
      </c>
      <c r="J23" s="1089">
        <v>48765</v>
      </c>
      <c r="K23" s="1089">
        <v>47774</v>
      </c>
      <c r="L23" s="1089">
        <v>34862</v>
      </c>
      <c r="M23" s="1089">
        <v>24685</v>
      </c>
      <c r="N23" s="1089">
        <v>13541</v>
      </c>
      <c r="O23" s="1089">
        <v>12121</v>
      </c>
      <c r="P23" s="1089">
        <v>16758</v>
      </c>
      <c r="Q23" s="1089">
        <v>21211.8</v>
      </c>
      <c r="R23" s="1089">
        <v>15529.7</v>
      </c>
      <c r="S23" s="1089">
        <v>16865</v>
      </c>
      <c r="T23" s="1089">
        <v>26383</v>
      </c>
      <c r="U23" s="1185" t="s">
        <v>2477</v>
      </c>
    </row>
    <row r="24" spans="1:24" s="1087" customFormat="1" ht="16.149999999999999" customHeight="1">
      <c r="A24" s="1885" t="s">
        <v>2476</v>
      </c>
      <c r="B24" s="1886"/>
      <c r="C24" s="1886"/>
      <c r="D24" s="1886"/>
      <c r="E24" s="1886"/>
      <c r="F24" s="1886"/>
      <c r="G24" s="1886"/>
      <c r="H24" s="1886"/>
      <c r="I24" s="1886"/>
      <c r="J24" s="1886"/>
      <c r="K24" s="1886"/>
      <c r="L24" s="1886"/>
      <c r="M24" s="1886"/>
      <c r="N24" s="1886"/>
      <c r="O24" s="1886"/>
      <c r="P24" s="1886"/>
      <c r="Q24" s="1886"/>
      <c r="R24" s="1886"/>
      <c r="S24" s="1886"/>
      <c r="T24" s="1093"/>
      <c r="U24" s="1183" t="s">
        <v>2475</v>
      </c>
    </row>
    <row r="25" spans="1:24" s="1087" customFormat="1" ht="16.149999999999999" hidden="1" customHeight="1">
      <c r="A25" s="1184" t="s">
        <v>2474</v>
      </c>
      <c r="B25" s="1090" t="s">
        <v>2392</v>
      </c>
      <c r="C25" s="1089">
        <v>9</v>
      </c>
      <c r="D25" s="1089">
        <v>38</v>
      </c>
      <c r="E25" s="1089">
        <v>25</v>
      </c>
      <c r="F25" s="1089" t="s">
        <v>47</v>
      </c>
      <c r="G25" s="1089">
        <v>11</v>
      </c>
      <c r="H25" s="1089">
        <v>19</v>
      </c>
      <c r="I25" s="1089">
        <v>476</v>
      </c>
      <c r="J25" s="1089">
        <v>476</v>
      </c>
      <c r="K25" s="1089">
        <v>493</v>
      </c>
      <c r="L25" s="1089">
        <v>100</v>
      </c>
      <c r="M25" s="1089"/>
      <c r="N25" s="1089"/>
      <c r="O25" s="1089"/>
      <c r="P25" s="1089"/>
      <c r="Q25" s="1089"/>
      <c r="R25" s="1089"/>
      <c r="S25" s="1089"/>
      <c r="T25" s="1088" t="s">
        <v>2473</v>
      </c>
      <c r="U25" s="1186"/>
    </row>
    <row r="26" spans="1:24" s="1087" customFormat="1" ht="16.149999999999999" customHeight="1">
      <c r="A26" s="1184" t="s">
        <v>2216</v>
      </c>
      <c r="B26" s="1090" t="s">
        <v>2392</v>
      </c>
      <c r="C26" s="1089">
        <v>9053</v>
      </c>
      <c r="D26" s="1089">
        <v>9464</v>
      </c>
      <c r="E26" s="1089">
        <v>6691</v>
      </c>
      <c r="F26" s="1089">
        <v>6415</v>
      </c>
      <c r="G26" s="1089">
        <v>5992</v>
      </c>
      <c r="H26" s="1089">
        <v>3846</v>
      </c>
      <c r="I26" s="1089">
        <v>3053</v>
      </c>
      <c r="J26" s="1089">
        <v>3053</v>
      </c>
      <c r="K26" s="1089">
        <v>572</v>
      </c>
      <c r="L26" s="1089">
        <v>1300</v>
      </c>
      <c r="M26" s="1089">
        <v>930</v>
      </c>
      <c r="N26" s="1089">
        <v>110</v>
      </c>
      <c r="O26" s="1089">
        <v>0</v>
      </c>
      <c r="P26" s="1089">
        <v>0</v>
      </c>
      <c r="Q26" s="1089">
        <v>0</v>
      </c>
      <c r="R26" s="1089">
        <v>0</v>
      </c>
      <c r="S26" s="1089">
        <v>0</v>
      </c>
      <c r="T26" s="1089"/>
      <c r="U26" s="1185" t="s">
        <v>2217</v>
      </c>
      <c r="X26" s="1092"/>
    </row>
    <row r="27" spans="1:24" s="1087" customFormat="1" ht="16.149999999999999" customHeight="1">
      <c r="A27" s="1184" t="s">
        <v>2472</v>
      </c>
      <c r="B27" s="1090" t="s">
        <v>2392</v>
      </c>
      <c r="C27" s="1089">
        <v>2049277</v>
      </c>
      <c r="D27" s="1089" t="s">
        <v>47</v>
      </c>
      <c r="E27" s="1089" t="s">
        <v>47</v>
      </c>
      <c r="F27" s="1089">
        <v>1803954</v>
      </c>
      <c r="G27" s="1089">
        <v>1605489</v>
      </c>
      <c r="H27" s="1089">
        <v>2097490</v>
      </c>
      <c r="I27" s="1089">
        <v>2326876</v>
      </c>
      <c r="J27" s="1089">
        <v>2259726</v>
      </c>
      <c r="K27" s="1089">
        <v>1941158</v>
      </c>
      <c r="L27" s="1089">
        <v>1453580</v>
      </c>
      <c r="M27" s="1089">
        <v>1607215</v>
      </c>
      <c r="N27" s="1089">
        <v>1571863</v>
      </c>
      <c r="O27" s="1089">
        <v>1124440</v>
      </c>
      <c r="P27" s="1089">
        <v>1515002</v>
      </c>
      <c r="Q27" s="1089">
        <v>1421086</v>
      </c>
      <c r="R27" s="1089">
        <v>1400189</v>
      </c>
      <c r="S27" s="1089">
        <v>1455829</v>
      </c>
      <c r="T27" s="1089">
        <v>1395079</v>
      </c>
      <c r="U27" s="1185" t="s">
        <v>2471</v>
      </c>
    </row>
    <row r="28" spans="1:24" s="1087" customFormat="1" ht="16.149999999999999" customHeight="1">
      <c r="A28" s="1184" t="s">
        <v>2218</v>
      </c>
      <c r="B28" s="1090" t="s">
        <v>2392</v>
      </c>
      <c r="C28" s="1089">
        <v>2323</v>
      </c>
      <c r="D28" s="1089">
        <v>390</v>
      </c>
      <c r="E28" s="1089">
        <v>269</v>
      </c>
      <c r="F28" s="1089">
        <v>315</v>
      </c>
      <c r="G28" s="1089">
        <v>243</v>
      </c>
      <c r="H28" s="1089">
        <v>268</v>
      </c>
      <c r="I28" s="1089">
        <v>280</v>
      </c>
      <c r="J28" s="1089">
        <v>276</v>
      </c>
      <c r="K28" s="1089">
        <v>389</v>
      </c>
      <c r="L28" s="1089">
        <v>172</v>
      </c>
      <c r="M28" s="1089">
        <v>0</v>
      </c>
      <c r="N28" s="1089">
        <v>0</v>
      </c>
      <c r="O28" s="1089">
        <v>0</v>
      </c>
      <c r="P28" s="1089">
        <v>0</v>
      </c>
      <c r="Q28" s="1089">
        <v>0</v>
      </c>
      <c r="R28" s="1089">
        <v>0</v>
      </c>
      <c r="S28" s="1089">
        <v>0</v>
      </c>
      <c r="T28" s="1089">
        <v>0</v>
      </c>
      <c r="U28" s="1185" t="s">
        <v>2219</v>
      </c>
    </row>
    <row r="29" spans="1:24" s="1087" customFormat="1" ht="16.149999999999999" hidden="1" customHeight="1">
      <c r="A29" s="1184" t="s">
        <v>2470</v>
      </c>
      <c r="B29" s="1090" t="s">
        <v>2392</v>
      </c>
      <c r="C29" s="1089">
        <v>406675</v>
      </c>
      <c r="D29" s="1089">
        <v>626801</v>
      </c>
      <c r="E29" s="1089">
        <v>796134</v>
      </c>
      <c r="F29" s="1089">
        <v>997676</v>
      </c>
      <c r="G29" s="1089">
        <v>932993</v>
      </c>
      <c r="H29" s="1089">
        <v>1086714</v>
      </c>
      <c r="I29" s="1089">
        <v>1594634</v>
      </c>
      <c r="J29" s="1089">
        <v>1646516</v>
      </c>
      <c r="K29" s="1089">
        <v>1750559</v>
      </c>
      <c r="L29" s="1089">
        <v>2130995</v>
      </c>
      <c r="M29" s="1089"/>
      <c r="N29" s="1089"/>
      <c r="O29" s="1089"/>
      <c r="P29" s="1089"/>
      <c r="Q29" s="1089"/>
      <c r="R29" s="1089"/>
      <c r="S29" s="1089"/>
      <c r="T29" s="1089"/>
      <c r="U29" s="1185" t="s">
        <v>2469</v>
      </c>
    </row>
    <row r="30" spans="1:24" s="1087" customFormat="1" ht="16.149999999999999" hidden="1" customHeight="1">
      <c r="A30" s="1184" t="s">
        <v>2468</v>
      </c>
      <c r="B30" s="1090" t="s">
        <v>2392</v>
      </c>
      <c r="C30" s="1089">
        <v>1156227</v>
      </c>
      <c r="D30" s="1089">
        <v>1680695</v>
      </c>
      <c r="E30" s="1089">
        <v>1076290</v>
      </c>
      <c r="F30" s="1089">
        <v>1686148</v>
      </c>
      <c r="G30" s="1089">
        <v>2152552</v>
      </c>
      <c r="H30" s="1089">
        <v>2338806</v>
      </c>
      <c r="I30" s="1089">
        <v>1722804</v>
      </c>
      <c r="J30" s="1089">
        <v>1776980</v>
      </c>
      <c r="K30" s="1089">
        <v>1789431</v>
      </c>
      <c r="L30" s="1089">
        <v>1170522</v>
      </c>
      <c r="M30" s="1089"/>
      <c r="N30" s="1089"/>
      <c r="O30" s="1089"/>
      <c r="P30" s="1089"/>
      <c r="Q30" s="1089"/>
      <c r="R30" s="1089"/>
      <c r="S30" s="1089"/>
      <c r="T30" s="1089"/>
      <c r="U30" s="1185" t="s">
        <v>2467</v>
      </c>
    </row>
    <row r="31" spans="1:24" s="1087" customFormat="1" ht="16.149999999999999" hidden="1" customHeight="1">
      <c r="A31" s="1184" t="s">
        <v>2466</v>
      </c>
      <c r="B31" s="1090" t="s">
        <v>2392</v>
      </c>
      <c r="C31" s="1089">
        <v>73558</v>
      </c>
      <c r="D31" s="1089">
        <v>105724</v>
      </c>
      <c r="E31" s="1089">
        <v>86364</v>
      </c>
      <c r="F31" s="1089">
        <v>67284</v>
      </c>
      <c r="G31" s="1089">
        <v>49309</v>
      </c>
      <c r="H31" s="1089">
        <v>38826</v>
      </c>
      <c r="I31" s="1089">
        <v>51499</v>
      </c>
      <c r="J31" s="1089">
        <v>54081</v>
      </c>
      <c r="K31" s="1089">
        <v>74488</v>
      </c>
      <c r="L31" s="1089">
        <v>92122</v>
      </c>
      <c r="M31" s="1089"/>
      <c r="N31" s="1089"/>
      <c r="O31" s="1089"/>
      <c r="P31" s="1089"/>
      <c r="Q31" s="1089"/>
      <c r="R31" s="1089"/>
      <c r="S31" s="1089"/>
      <c r="T31" s="1089"/>
      <c r="U31" s="1185" t="s">
        <v>2465</v>
      </c>
    </row>
    <row r="32" spans="1:24" s="1087" customFormat="1" ht="16.149999999999999" hidden="1" customHeight="1">
      <c r="A32" s="1184" t="s">
        <v>2464</v>
      </c>
      <c r="B32" s="1090" t="s">
        <v>2392</v>
      </c>
      <c r="C32" s="1089">
        <v>148352</v>
      </c>
      <c r="D32" s="1089">
        <v>210838</v>
      </c>
      <c r="E32" s="1089">
        <v>194934</v>
      </c>
      <c r="F32" s="1089">
        <v>203085</v>
      </c>
      <c r="G32" s="1089">
        <v>185218</v>
      </c>
      <c r="H32" s="1089">
        <v>177197</v>
      </c>
      <c r="I32" s="1089">
        <v>176010</v>
      </c>
      <c r="J32" s="1089">
        <v>178736</v>
      </c>
      <c r="K32" s="1089">
        <v>175516</v>
      </c>
      <c r="L32" s="1089">
        <v>142696</v>
      </c>
      <c r="M32" s="1089"/>
      <c r="N32" s="1089"/>
      <c r="O32" s="1089"/>
      <c r="P32" s="1089"/>
      <c r="Q32" s="1089"/>
      <c r="R32" s="1089"/>
      <c r="S32" s="1089"/>
      <c r="T32" s="1089"/>
      <c r="U32" s="1185" t="s">
        <v>2463</v>
      </c>
    </row>
    <row r="33" spans="1:21" s="1087" customFormat="1" ht="16.149999999999999" hidden="1" customHeight="1">
      <c r="A33" s="1184" t="s">
        <v>2462</v>
      </c>
      <c r="B33" s="1090" t="s">
        <v>2392</v>
      </c>
      <c r="C33" s="1089">
        <v>805765</v>
      </c>
      <c r="D33" s="1089">
        <v>1224235</v>
      </c>
      <c r="E33" s="1089">
        <v>818993</v>
      </c>
      <c r="F33" s="1089">
        <v>1220783</v>
      </c>
      <c r="G33" s="1089">
        <v>1056273</v>
      </c>
      <c r="H33" s="1089">
        <v>730752</v>
      </c>
      <c r="I33" s="1089">
        <v>744561</v>
      </c>
      <c r="J33" s="1089">
        <v>1417684</v>
      </c>
      <c r="K33" s="1089">
        <v>2680726</v>
      </c>
      <c r="L33" s="1089">
        <v>2506662</v>
      </c>
      <c r="M33" s="1089"/>
      <c r="N33" s="1089"/>
      <c r="O33" s="1089"/>
      <c r="P33" s="1089"/>
      <c r="Q33" s="1089"/>
      <c r="R33" s="1089"/>
      <c r="S33" s="1089"/>
      <c r="T33" s="1089"/>
      <c r="U33" s="1185" t="s">
        <v>2461</v>
      </c>
    </row>
    <row r="34" spans="1:21" s="1087" customFormat="1" ht="16.149999999999999" hidden="1" customHeight="1">
      <c r="A34" s="1184" t="s">
        <v>2247</v>
      </c>
      <c r="B34" s="1090" t="s">
        <v>2460</v>
      </c>
      <c r="C34" s="1089">
        <v>44170</v>
      </c>
      <c r="D34" s="1089">
        <v>2180</v>
      </c>
      <c r="E34" s="1089">
        <v>586</v>
      </c>
      <c r="F34" s="1089">
        <v>536</v>
      </c>
      <c r="G34" s="1089">
        <v>16891</v>
      </c>
      <c r="H34" s="1089">
        <v>11222</v>
      </c>
      <c r="I34" s="1089">
        <v>18489</v>
      </c>
      <c r="J34" s="1089">
        <v>18490</v>
      </c>
      <c r="K34" s="1089">
        <v>31988</v>
      </c>
      <c r="L34" s="1089">
        <v>37517</v>
      </c>
      <c r="M34" s="1089">
        <v>36107</v>
      </c>
      <c r="N34" s="1089">
        <v>36044</v>
      </c>
      <c r="O34" s="1089">
        <v>36491</v>
      </c>
      <c r="P34" s="1089">
        <v>39699</v>
      </c>
      <c r="Q34" s="1089">
        <v>38437</v>
      </c>
      <c r="R34" s="1089">
        <v>28815.75</v>
      </c>
      <c r="S34" s="1089">
        <v>13916.87</v>
      </c>
      <c r="T34" s="1089"/>
      <c r="U34" s="1185" t="s">
        <v>2249</v>
      </c>
    </row>
    <row r="35" spans="1:21" s="1087" customFormat="1" ht="16.149999999999999" hidden="1" customHeight="1">
      <c r="A35" s="1184" t="s">
        <v>2459</v>
      </c>
      <c r="B35" s="1090" t="s">
        <v>2392</v>
      </c>
      <c r="C35" s="1089">
        <v>24494</v>
      </c>
      <c r="D35" s="1089">
        <v>15944</v>
      </c>
      <c r="E35" s="1089">
        <v>21236</v>
      </c>
      <c r="F35" s="1089">
        <v>24642</v>
      </c>
      <c r="G35" s="1089">
        <v>25569</v>
      </c>
      <c r="H35" s="1089">
        <v>26082</v>
      </c>
      <c r="I35" s="1089">
        <v>24124</v>
      </c>
      <c r="J35" s="1089">
        <v>23818</v>
      </c>
      <c r="K35" s="1089">
        <v>16222</v>
      </c>
      <c r="L35" s="1089">
        <v>14599</v>
      </c>
      <c r="M35" s="1089"/>
      <c r="N35" s="1089"/>
      <c r="O35" s="1089"/>
      <c r="P35" s="1089"/>
      <c r="Q35" s="1089"/>
      <c r="R35" s="1089"/>
      <c r="S35" s="1089"/>
      <c r="T35" s="1089"/>
      <c r="U35" s="1185" t="s">
        <v>2458</v>
      </c>
    </row>
    <row r="36" spans="1:21" s="1087" customFormat="1" ht="16.149999999999999" hidden="1" customHeight="1">
      <c r="A36" s="1184" t="s">
        <v>2457</v>
      </c>
      <c r="B36" s="1090" t="s">
        <v>2392</v>
      </c>
      <c r="C36" s="1089">
        <v>4750512</v>
      </c>
      <c r="D36" s="1089">
        <v>5171649</v>
      </c>
      <c r="E36" s="1089">
        <v>5852256</v>
      </c>
      <c r="F36" s="1089">
        <v>5509237</v>
      </c>
      <c r="G36" s="1089">
        <v>5911759</v>
      </c>
      <c r="H36" s="1089">
        <v>5839710</v>
      </c>
      <c r="I36" s="1089">
        <v>5416817</v>
      </c>
      <c r="J36" s="1089">
        <v>5968554</v>
      </c>
      <c r="K36" s="1089">
        <v>7233958</v>
      </c>
      <c r="L36" s="1089">
        <v>7310599</v>
      </c>
      <c r="M36" s="1089"/>
      <c r="N36" s="1089"/>
      <c r="O36" s="1089"/>
      <c r="P36" s="1089"/>
      <c r="Q36" s="1089"/>
      <c r="R36" s="1089"/>
      <c r="S36" s="1089"/>
      <c r="T36" s="1089"/>
      <c r="U36" s="1185" t="s">
        <v>2456</v>
      </c>
    </row>
    <row r="37" spans="1:21" s="1087" customFormat="1" ht="16.149999999999999" hidden="1" customHeight="1">
      <c r="A37" s="1184" t="s">
        <v>2455</v>
      </c>
      <c r="B37" s="1090" t="s">
        <v>2392</v>
      </c>
      <c r="C37" s="1089">
        <v>36621</v>
      </c>
      <c r="D37" s="1089">
        <v>29708</v>
      </c>
      <c r="E37" s="1089">
        <v>57989</v>
      </c>
      <c r="F37" s="1089">
        <v>50935</v>
      </c>
      <c r="G37" s="1089">
        <v>71642</v>
      </c>
      <c r="H37" s="1089">
        <v>23716</v>
      </c>
      <c r="I37" s="1089">
        <v>39223</v>
      </c>
      <c r="J37" s="1089">
        <v>38774</v>
      </c>
      <c r="K37" s="1089">
        <v>88274</v>
      </c>
      <c r="L37" s="1089">
        <v>64917</v>
      </c>
      <c r="M37" s="1089"/>
      <c r="N37" s="1089"/>
      <c r="O37" s="1089"/>
      <c r="P37" s="1089"/>
      <c r="Q37" s="1089"/>
      <c r="R37" s="1089"/>
      <c r="S37" s="1089"/>
      <c r="T37" s="1089"/>
      <c r="U37" s="1185" t="s">
        <v>2454</v>
      </c>
    </row>
    <row r="38" spans="1:21" s="1087" customFormat="1" ht="16.149999999999999" hidden="1" customHeight="1">
      <c r="A38" s="1184" t="s">
        <v>2453</v>
      </c>
      <c r="B38" s="1090" t="s">
        <v>2392</v>
      </c>
      <c r="C38" s="1089">
        <v>426498</v>
      </c>
      <c r="D38" s="1089">
        <v>479715</v>
      </c>
      <c r="E38" s="1089">
        <v>488458</v>
      </c>
      <c r="F38" s="1089">
        <v>534032</v>
      </c>
      <c r="G38" s="1089">
        <v>496997</v>
      </c>
      <c r="H38" s="1089">
        <v>546472</v>
      </c>
      <c r="I38" s="1089">
        <v>660371</v>
      </c>
      <c r="J38" s="1089">
        <v>835526</v>
      </c>
      <c r="K38" s="1089">
        <v>1459008</v>
      </c>
      <c r="L38" s="1089">
        <v>1512982</v>
      </c>
      <c r="M38" s="1089"/>
      <c r="N38" s="1089"/>
      <c r="O38" s="1089"/>
      <c r="P38" s="1089"/>
      <c r="Q38" s="1089"/>
      <c r="R38" s="1089"/>
      <c r="S38" s="1089"/>
      <c r="T38" s="1089"/>
      <c r="U38" s="1185" t="s">
        <v>2452</v>
      </c>
    </row>
    <row r="39" spans="1:21" s="1087" customFormat="1" ht="16.149999999999999" hidden="1" customHeight="1">
      <c r="A39" s="1184" t="s">
        <v>2451</v>
      </c>
      <c r="B39" s="1090" t="s">
        <v>2392</v>
      </c>
      <c r="C39" s="1089">
        <v>535735</v>
      </c>
      <c r="D39" s="1089">
        <v>497315</v>
      </c>
      <c r="E39" s="1089">
        <v>544973</v>
      </c>
      <c r="F39" s="1089">
        <v>495781</v>
      </c>
      <c r="G39" s="1089">
        <v>548748</v>
      </c>
      <c r="H39" s="1089">
        <v>856741</v>
      </c>
      <c r="I39" s="1089">
        <v>759746</v>
      </c>
      <c r="J39" s="1089">
        <v>983155</v>
      </c>
      <c r="K39" s="1089">
        <v>999925</v>
      </c>
      <c r="L39" s="1089">
        <v>920809</v>
      </c>
      <c r="M39" s="1089"/>
      <c r="N39" s="1089"/>
      <c r="O39" s="1089"/>
      <c r="P39" s="1089"/>
      <c r="Q39" s="1089"/>
      <c r="R39" s="1089"/>
      <c r="S39" s="1089"/>
      <c r="T39" s="1089"/>
      <c r="U39" s="1185" t="s">
        <v>2450</v>
      </c>
    </row>
    <row r="40" spans="1:21" s="1087" customFormat="1" ht="16.149999999999999" hidden="1" customHeight="1">
      <c r="A40" s="1184" t="s">
        <v>2449</v>
      </c>
      <c r="B40" s="1090" t="s">
        <v>2392</v>
      </c>
      <c r="C40" s="1089">
        <v>981</v>
      </c>
      <c r="D40" s="1089">
        <v>642</v>
      </c>
      <c r="E40" s="1089">
        <v>550</v>
      </c>
      <c r="F40" s="1089">
        <v>1238</v>
      </c>
      <c r="G40" s="1089">
        <v>1337</v>
      </c>
      <c r="H40" s="1089">
        <v>1670</v>
      </c>
      <c r="I40" s="1089">
        <v>1018</v>
      </c>
      <c r="J40" s="1089">
        <v>1117</v>
      </c>
      <c r="K40" s="1089">
        <v>1266</v>
      </c>
      <c r="L40" s="1089">
        <v>551</v>
      </c>
      <c r="M40" s="1089"/>
      <c r="N40" s="1089"/>
      <c r="O40" s="1089"/>
      <c r="P40" s="1089"/>
      <c r="Q40" s="1089"/>
      <c r="R40" s="1089"/>
      <c r="S40" s="1089"/>
      <c r="T40" s="1089"/>
      <c r="U40" s="1185" t="s">
        <v>2448</v>
      </c>
    </row>
    <row r="41" spans="1:21" s="1087" customFormat="1" ht="16.149999999999999" customHeight="1">
      <c r="A41" s="1184" t="s">
        <v>2447</v>
      </c>
      <c r="B41" s="1090" t="s">
        <v>2392</v>
      </c>
      <c r="C41" s="1089">
        <v>5577</v>
      </c>
      <c r="D41" s="1089">
        <v>2053</v>
      </c>
      <c r="E41" s="1089">
        <v>3970</v>
      </c>
      <c r="F41" s="1089">
        <v>3176</v>
      </c>
      <c r="G41" s="1089">
        <v>4995</v>
      </c>
      <c r="H41" s="1089">
        <v>59954</v>
      </c>
      <c r="I41" s="1089">
        <v>4856</v>
      </c>
      <c r="J41" s="1089">
        <v>5010</v>
      </c>
      <c r="K41" s="1089">
        <v>3092</v>
      </c>
      <c r="L41" s="1089">
        <v>2487</v>
      </c>
      <c r="M41" s="1089">
        <v>2946</v>
      </c>
      <c r="N41" s="1089">
        <v>2333</v>
      </c>
      <c r="O41" s="1089">
        <v>1175</v>
      </c>
      <c r="P41" s="1089">
        <v>1314</v>
      </c>
      <c r="Q41" s="1089">
        <v>1078.97</v>
      </c>
      <c r="R41" s="1089">
        <v>1314.68</v>
      </c>
      <c r="S41" s="1089">
        <v>1052.1199999999999</v>
      </c>
      <c r="T41" s="1089">
        <v>1236.77</v>
      </c>
      <c r="U41" s="1185" t="s">
        <v>2446</v>
      </c>
    </row>
    <row r="42" spans="1:21" s="1087" customFormat="1" ht="16.149999999999999" customHeight="1">
      <c r="A42" s="1184" t="s">
        <v>2445</v>
      </c>
      <c r="B42" s="1090" t="s">
        <v>2392</v>
      </c>
      <c r="C42" s="1089" t="s">
        <v>47</v>
      </c>
      <c r="D42" s="1089"/>
      <c r="E42" s="1089"/>
      <c r="F42" s="1089"/>
      <c r="G42" s="1089"/>
      <c r="H42" s="1089" t="s">
        <v>47</v>
      </c>
      <c r="I42" s="1089"/>
      <c r="J42" s="1089">
        <v>708</v>
      </c>
      <c r="K42" s="1089">
        <v>0.63300000000000001</v>
      </c>
      <c r="L42" s="1089">
        <v>459</v>
      </c>
      <c r="M42" s="1089">
        <v>244</v>
      </c>
      <c r="N42" s="1089">
        <v>253</v>
      </c>
      <c r="O42" s="1089">
        <v>26</v>
      </c>
      <c r="P42" s="1089">
        <v>0</v>
      </c>
      <c r="Q42" s="1089">
        <v>0</v>
      </c>
      <c r="R42" s="1089">
        <v>0</v>
      </c>
      <c r="S42" s="1089">
        <v>0</v>
      </c>
      <c r="T42" s="1089"/>
      <c r="U42" s="1185" t="s">
        <v>2444</v>
      </c>
    </row>
    <row r="43" spans="1:21" s="1087" customFormat="1" ht="16.149999999999999" customHeight="1">
      <c r="A43" s="1184" t="s">
        <v>2443</v>
      </c>
      <c r="B43" s="1090" t="s">
        <v>2392</v>
      </c>
      <c r="C43" s="1089">
        <v>671541</v>
      </c>
      <c r="D43" s="1089">
        <v>858843</v>
      </c>
      <c r="E43" s="1089">
        <v>1275919</v>
      </c>
      <c r="F43" s="1089">
        <v>1151241</v>
      </c>
      <c r="G43" s="1089">
        <v>1580617</v>
      </c>
      <c r="H43" s="1089">
        <v>2126337</v>
      </c>
      <c r="I43" s="1089">
        <v>1824648</v>
      </c>
      <c r="J43" s="1089">
        <v>1717904</v>
      </c>
      <c r="K43" s="1089">
        <v>768248</v>
      </c>
      <c r="L43" s="1089">
        <v>483559</v>
      </c>
      <c r="M43" s="1089">
        <v>91394</v>
      </c>
      <c r="N43" s="1089">
        <v>82001</v>
      </c>
      <c r="O43" s="1089">
        <v>85413</v>
      </c>
      <c r="P43" s="1089">
        <v>158277</v>
      </c>
      <c r="Q43" s="1089">
        <v>123404</v>
      </c>
      <c r="R43" s="1089">
        <v>568</v>
      </c>
      <c r="S43" s="1089">
        <v>7113.67</v>
      </c>
      <c r="T43" s="1089">
        <v>8181.89</v>
      </c>
      <c r="U43" s="1185" t="s">
        <v>2442</v>
      </c>
    </row>
    <row r="44" spans="1:21" s="1087" customFormat="1" ht="16.149999999999999" customHeight="1">
      <c r="A44" s="1184" t="s">
        <v>2441</v>
      </c>
      <c r="B44" s="1090" t="s">
        <v>2392</v>
      </c>
      <c r="C44" s="1089">
        <v>125651</v>
      </c>
      <c r="D44" s="1089">
        <v>162293</v>
      </c>
      <c r="E44" s="1089">
        <v>170813</v>
      </c>
      <c r="F44" s="1089">
        <v>117767</v>
      </c>
      <c r="G44" s="1089">
        <v>124625</v>
      </c>
      <c r="H44" s="1089">
        <v>115697</v>
      </c>
      <c r="I44" s="1089">
        <v>148974</v>
      </c>
      <c r="J44" s="1089">
        <v>153339</v>
      </c>
      <c r="K44" s="1089">
        <v>134735</v>
      </c>
      <c r="L44" s="1089">
        <v>146390</v>
      </c>
      <c r="M44" s="1089">
        <v>116712</v>
      </c>
      <c r="N44" s="1089">
        <v>135528</v>
      </c>
      <c r="O44" s="1089">
        <v>122438</v>
      </c>
      <c r="P44" s="1089">
        <v>33649</v>
      </c>
      <c r="Q44" s="1089">
        <v>39030</v>
      </c>
      <c r="R44" s="1089">
        <v>34674</v>
      </c>
      <c r="S44" s="1089">
        <v>35386</v>
      </c>
      <c r="T44" s="1089">
        <v>57264</v>
      </c>
      <c r="U44" s="1185" t="s">
        <v>2440</v>
      </c>
    </row>
    <row r="45" spans="1:21" s="1087" customFormat="1" ht="16.149999999999999" hidden="1" customHeight="1">
      <c r="A45" s="1184" t="s">
        <v>2439</v>
      </c>
      <c r="B45" s="1090" t="s">
        <v>2392</v>
      </c>
      <c r="C45" s="1089">
        <v>3291478</v>
      </c>
      <c r="D45" s="1089">
        <v>3005572</v>
      </c>
      <c r="E45" s="1089">
        <v>3400050</v>
      </c>
      <c r="F45" s="1089">
        <v>3876671</v>
      </c>
      <c r="G45" s="1089">
        <v>3370322</v>
      </c>
      <c r="H45" s="1089">
        <v>4918170</v>
      </c>
      <c r="I45" s="1089">
        <v>3189229</v>
      </c>
      <c r="J45" s="1089">
        <v>3978806</v>
      </c>
      <c r="K45" s="1089">
        <v>3556723</v>
      </c>
      <c r="L45" s="1089">
        <v>3115363</v>
      </c>
      <c r="M45" s="1089"/>
      <c r="N45" s="1089"/>
      <c r="O45" s="1089"/>
      <c r="P45" s="1089"/>
      <c r="Q45" s="1089"/>
      <c r="R45" s="1089"/>
      <c r="S45" s="1089"/>
      <c r="T45" s="1089"/>
      <c r="U45" s="1185" t="s">
        <v>2438</v>
      </c>
    </row>
    <row r="46" spans="1:21" s="1087" customFormat="1" ht="16.149999999999999" customHeight="1">
      <c r="A46" s="1184" t="s">
        <v>2437</v>
      </c>
      <c r="B46" s="1090" t="s">
        <v>2436</v>
      </c>
      <c r="C46" s="1089" t="s">
        <v>47</v>
      </c>
      <c r="D46" s="1089"/>
      <c r="E46" s="1089"/>
      <c r="F46" s="1089"/>
      <c r="G46" s="1089"/>
      <c r="H46" s="1089">
        <v>4</v>
      </c>
      <c r="I46" s="1089"/>
      <c r="J46" s="1089"/>
      <c r="K46" s="1089"/>
      <c r="L46" s="1089"/>
      <c r="M46" s="1089">
        <v>0</v>
      </c>
      <c r="N46" s="1089">
        <v>0</v>
      </c>
      <c r="O46" s="1089">
        <v>0</v>
      </c>
      <c r="P46" s="1089">
        <v>0</v>
      </c>
      <c r="Q46" s="1089">
        <v>72.8</v>
      </c>
      <c r="R46" s="1089">
        <v>90.1</v>
      </c>
      <c r="S46" s="1089">
        <v>16</v>
      </c>
      <c r="T46" s="1089">
        <v>27</v>
      </c>
      <c r="U46" s="1185" t="s">
        <v>2435</v>
      </c>
    </row>
    <row r="47" spans="1:21" s="1087" customFormat="1" ht="16.149999999999999" hidden="1" customHeight="1">
      <c r="A47" s="1184" t="s">
        <v>2434</v>
      </c>
      <c r="B47" s="1090" t="s">
        <v>2392</v>
      </c>
      <c r="C47" s="1089">
        <v>1335744</v>
      </c>
      <c r="D47" s="1089">
        <v>1460363</v>
      </c>
      <c r="E47" s="1089">
        <v>1466442</v>
      </c>
      <c r="F47" s="1089">
        <v>2083731</v>
      </c>
      <c r="G47" s="1089">
        <v>2798340</v>
      </c>
      <c r="H47" s="1089">
        <v>2727946</v>
      </c>
      <c r="I47" s="1089">
        <v>2734349</v>
      </c>
      <c r="J47" s="1089">
        <v>3076795</v>
      </c>
      <c r="K47" s="1089">
        <v>4258697</v>
      </c>
      <c r="L47" s="1089">
        <v>4853420</v>
      </c>
      <c r="M47" s="1089"/>
      <c r="N47" s="1089"/>
      <c r="O47" s="1089"/>
      <c r="P47" s="1089"/>
      <c r="Q47" s="1089"/>
      <c r="R47" s="1089"/>
      <c r="S47" s="1089"/>
      <c r="T47" s="1089"/>
      <c r="U47" s="1185" t="s">
        <v>2433</v>
      </c>
    </row>
    <row r="48" spans="1:21" s="1087" customFormat="1" ht="16.149999999999999" customHeight="1">
      <c r="A48" s="1184" t="s">
        <v>2294</v>
      </c>
      <c r="B48" s="1090" t="s">
        <v>2392</v>
      </c>
      <c r="C48" s="1089">
        <v>8869</v>
      </c>
      <c r="D48" s="1089">
        <v>8059</v>
      </c>
      <c r="E48" s="1089">
        <v>5102</v>
      </c>
      <c r="F48" s="1089">
        <v>4620</v>
      </c>
      <c r="G48" s="1089">
        <v>5495</v>
      </c>
      <c r="H48" s="1089">
        <v>5954</v>
      </c>
      <c r="I48" s="1089">
        <v>4064</v>
      </c>
      <c r="J48" s="1089">
        <v>4064</v>
      </c>
      <c r="K48" s="1089">
        <v>1048</v>
      </c>
      <c r="L48" s="1089">
        <v>3679</v>
      </c>
      <c r="M48" s="1089">
        <v>6255</v>
      </c>
      <c r="N48" s="1089">
        <v>2901</v>
      </c>
      <c r="O48" s="1089">
        <v>3253</v>
      </c>
      <c r="P48" s="1089">
        <v>7818</v>
      </c>
      <c r="Q48" s="1089">
        <v>4889.1899999999996</v>
      </c>
      <c r="R48" s="1089">
        <v>3498</v>
      </c>
      <c r="S48" s="1089">
        <v>4925</v>
      </c>
      <c r="T48" s="1089">
        <v>9432</v>
      </c>
      <c r="U48" s="1185" t="s">
        <v>2295</v>
      </c>
    </row>
    <row r="49" spans="1:21" s="1087" customFormat="1" ht="16.149999999999999" customHeight="1">
      <c r="A49" s="1184" t="s">
        <v>2353</v>
      </c>
      <c r="B49" s="1090" t="s">
        <v>2392</v>
      </c>
      <c r="C49" s="1089">
        <v>33119</v>
      </c>
      <c r="D49" s="1089">
        <v>26366</v>
      </c>
      <c r="E49" s="1089">
        <v>40537</v>
      </c>
      <c r="F49" s="1089"/>
      <c r="G49" s="1089">
        <v>33687</v>
      </c>
      <c r="H49" s="1089">
        <v>48784</v>
      </c>
      <c r="I49" s="1089">
        <v>58043</v>
      </c>
      <c r="J49" s="1089">
        <v>59206</v>
      </c>
      <c r="K49" s="1089">
        <v>43736</v>
      </c>
      <c r="L49" s="1089">
        <v>67265</v>
      </c>
      <c r="M49" s="1089">
        <v>66273</v>
      </c>
      <c r="N49" s="1089">
        <v>69942</v>
      </c>
      <c r="O49" s="1089">
        <v>68131</v>
      </c>
      <c r="P49" s="1089">
        <v>81638</v>
      </c>
      <c r="Q49" s="1089">
        <v>69033</v>
      </c>
      <c r="R49" s="1089">
        <v>13221</v>
      </c>
      <c r="S49" s="1089">
        <v>11110</v>
      </c>
      <c r="T49" s="1089"/>
      <c r="U49" s="1185" t="s">
        <v>2354</v>
      </c>
    </row>
    <row r="50" spans="1:21" s="1087" customFormat="1" ht="16.149999999999999" hidden="1" customHeight="1">
      <c r="A50" s="1184" t="s">
        <v>2432</v>
      </c>
      <c r="B50" s="1090" t="s">
        <v>2392</v>
      </c>
      <c r="C50" s="1089">
        <v>1040816</v>
      </c>
      <c r="D50" s="1089">
        <v>1373325</v>
      </c>
      <c r="E50" s="1089">
        <v>1478590</v>
      </c>
      <c r="F50" s="1089">
        <v>1237393</v>
      </c>
      <c r="G50" s="1089">
        <v>1300772</v>
      </c>
      <c r="H50" s="1089">
        <v>1220304</v>
      </c>
      <c r="I50" s="1089">
        <v>1665820</v>
      </c>
      <c r="J50" s="1089">
        <v>2815275</v>
      </c>
      <c r="K50" s="1089">
        <v>4121192</v>
      </c>
      <c r="L50" s="1089">
        <v>3475368</v>
      </c>
      <c r="M50" s="1089"/>
      <c r="N50" s="1089"/>
      <c r="O50" s="1089"/>
      <c r="P50" s="1089"/>
      <c r="Q50" s="1089"/>
      <c r="R50" s="1089"/>
      <c r="S50" s="1089"/>
      <c r="T50" s="1089"/>
      <c r="U50" s="1185" t="s">
        <v>2431</v>
      </c>
    </row>
    <row r="51" spans="1:21" s="1087" customFormat="1" ht="16.149999999999999" customHeight="1">
      <c r="A51" s="1184" t="s">
        <v>2306</v>
      </c>
      <c r="B51" s="1091" t="s">
        <v>1739</v>
      </c>
      <c r="C51" s="1089">
        <v>170029</v>
      </c>
      <c r="D51" s="1089">
        <v>196695</v>
      </c>
      <c r="E51" s="1089">
        <v>193089</v>
      </c>
      <c r="F51" s="1089">
        <v>221573</v>
      </c>
      <c r="G51" s="1089">
        <v>232950</v>
      </c>
      <c r="H51" s="1089">
        <v>246336</v>
      </c>
      <c r="I51" s="1089">
        <v>256669</v>
      </c>
      <c r="J51" s="1089">
        <v>262882</v>
      </c>
      <c r="K51" s="1089">
        <v>285030</v>
      </c>
      <c r="L51" s="1089">
        <v>280863</v>
      </c>
      <c r="M51" s="1089">
        <v>293273</v>
      </c>
      <c r="N51" s="1089">
        <v>307001</v>
      </c>
      <c r="O51" s="1089">
        <v>314669</v>
      </c>
      <c r="P51" s="1089">
        <v>340417</v>
      </c>
      <c r="Q51" s="1089">
        <v>379974.864</v>
      </c>
      <c r="R51" s="1089">
        <v>359463.80900000001</v>
      </c>
      <c r="S51" s="1089">
        <v>349119.97</v>
      </c>
      <c r="T51" s="1089">
        <v>392759.55900000001</v>
      </c>
      <c r="U51" s="1185" t="s">
        <v>2307</v>
      </c>
    </row>
    <row r="52" spans="1:21" s="1087" customFormat="1" ht="16.149999999999999" hidden="1" customHeight="1">
      <c r="A52" s="1184" t="s">
        <v>2430</v>
      </c>
      <c r="B52" s="1090" t="s">
        <v>2392</v>
      </c>
      <c r="C52" s="1089">
        <v>291926</v>
      </c>
      <c r="D52" s="1089">
        <v>395817</v>
      </c>
      <c r="E52" s="1089">
        <v>336385</v>
      </c>
      <c r="F52" s="1089">
        <v>434332</v>
      </c>
      <c r="G52" s="1089">
        <v>335067</v>
      </c>
      <c r="H52" s="1089">
        <v>383817</v>
      </c>
      <c r="I52" s="1089">
        <v>311218</v>
      </c>
      <c r="J52" s="1089">
        <v>311219</v>
      </c>
      <c r="K52" s="1089">
        <v>192426</v>
      </c>
      <c r="L52" s="1089">
        <v>140088</v>
      </c>
      <c r="M52" s="1089"/>
      <c r="N52" s="1089"/>
      <c r="O52" s="1089"/>
      <c r="P52" s="1089"/>
      <c r="Q52" s="1089"/>
      <c r="R52" s="1089"/>
      <c r="S52" s="1089"/>
      <c r="T52" s="1089"/>
      <c r="U52" s="1185" t="s">
        <v>2429</v>
      </c>
    </row>
    <row r="53" spans="1:21" s="1087" customFormat="1" ht="16.149999999999999" customHeight="1" thickBot="1">
      <c r="A53" s="1604" t="s">
        <v>2428</v>
      </c>
      <c r="B53" s="1605" t="s">
        <v>2392</v>
      </c>
      <c r="C53" s="1606">
        <v>110296</v>
      </c>
      <c r="D53" s="1606">
        <v>103548</v>
      </c>
      <c r="E53" s="1606">
        <v>128250</v>
      </c>
      <c r="F53" s="1606">
        <v>97856</v>
      </c>
      <c r="G53" s="1606">
        <v>62215</v>
      </c>
      <c r="H53" s="1606">
        <v>30410</v>
      </c>
      <c r="I53" s="1606">
        <v>33226</v>
      </c>
      <c r="J53" s="1606">
        <v>33225</v>
      </c>
      <c r="K53" s="1606">
        <v>24044</v>
      </c>
      <c r="L53" s="1606">
        <v>18750</v>
      </c>
      <c r="M53" s="1606">
        <v>16353</v>
      </c>
      <c r="N53" s="1606">
        <v>10353</v>
      </c>
      <c r="O53" s="1606">
        <v>12344</v>
      </c>
      <c r="P53" s="1606">
        <v>14765</v>
      </c>
      <c r="Q53" s="1606">
        <v>7534</v>
      </c>
      <c r="R53" s="1606">
        <v>4600</v>
      </c>
      <c r="S53" s="1606">
        <v>0</v>
      </c>
      <c r="T53" s="1606">
        <v>100</v>
      </c>
      <c r="U53" s="1607" t="s">
        <v>2427</v>
      </c>
    </row>
    <row r="54" spans="1:21" s="1087" customFormat="1" ht="16.149999999999999" customHeight="1" thickTop="1">
      <c r="A54" s="1601" t="s">
        <v>2308</v>
      </c>
      <c r="B54" s="1602" t="s">
        <v>2392</v>
      </c>
      <c r="C54" s="1603">
        <v>340674</v>
      </c>
      <c r="D54" s="1603">
        <v>238981</v>
      </c>
      <c r="E54" s="1603">
        <v>252849</v>
      </c>
      <c r="F54" s="1603">
        <v>252880</v>
      </c>
      <c r="G54" s="1603">
        <v>301070</v>
      </c>
      <c r="H54" s="1603">
        <v>235762</v>
      </c>
      <c r="I54" s="1603">
        <v>217662</v>
      </c>
      <c r="J54" s="1603">
        <v>224104</v>
      </c>
      <c r="K54" s="1603">
        <v>224315</v>
      </c>
      <c r="L54" s="1603">
        <v>196940</v>
      </c>
      <c r="M54" s="1603">
        <v>285009</v>
      </c>
      <c r="N54" s="1603">
        <v>327663</v>
      </c>
      <c r="O54" s="1603">
        <v>299149</v>
      </c>
      <c r="P54" s="1603">
        <v>195055</v>
      </c>
      <c r="Q54" s="1603">
        <v>146875</v>
      </c>
      <c r="R54" s="1603">
        <v>102554</v>
      </c>
      <c r="S54" s="1603">
        <v>74661</v>
      </c>
      <c r="T54" s="1603">
        <v>113495</v>
      </c>
      <c r="U54" s="1608" t="s">
        <v>2309</v>
      </c>
    </row>
    <row r="55" spans="1:21" s="1087" customFormat="1" ht="16.149999999999999" customHeight="1">
      <c r="A55" s="1184" t="s">
        <v>2314</v>
      </c>
      <c r="B55" s="1090" t="s">
        <v>2392</v>
      </c>
      <c r="C55" s="1089" t="s">
        <v>47</v>
      </c>
      <c r="D55" s="1089" t="s">
        <v>47</v>
      </c>
      <c r="E55" s="1089">
        <v>4155925</v>
      </c>
      <c r="F55" s="1089">
        <v>4167452</v>
      </c>
      <c r="G55" s="1089">
        <v>5908226</v>
      </c>
      <c r="H55" s="1089">
        <v>4399379</v>
      </c>
      <c r="I55" s="1089">
        <v>4143975</v>
      </c>
      <c r="J55" s="1089">
        <v>4140577</v>
      </c>
      <c r="K55" s="1089">
        <v>4337009</v>
      </c>
      <c r="L55" s="1089">
        <v>3254486</v>
      </c>
      <c r="M55" s="1089">
        <v>2179488</v>
      </c>
      <c r="N55" s="1089">
        <v>2389707</v>
      </c>
      <c r="O55" s="1089">
        <v>2203700</v>
      </c>
      <c r="P55" s="1089">
        <v>1969796</v>
      </c>
      <c r="Q55" s="1089">
        <v>1890308</v>
      </c>
      <c r="R55" s="1089">
        <v>2148854</v>
      </c>
      <c r="S55" s="1089">
        <v>2216414</v>
      </c>
      <c r="T55" s="1089">
        <v>1853481</v>
      </c>
      <c r="U55" s="1185" t="s">
        <v>2315</v>
      </c>
    </row>
    <row r="56" spans="1:21" s="1087" customFormat="1" ht="16.149999999999999" hidden="1" customHeight="1">
      <c r="A56" s="1184" t="s">
        <v>2426</v>
      </c>
      <c r="B56" s="1090" t="s">
        <v>2392</v>
      </c>
      <c r="C56" s="1089">
        <v>2116</v>
      </c>
      <c r="D56" s="1089">
        <v>1410576</v>
      </c>
      <c r="E56" s="1089">
        <v>4577835</v>
      </c>
      <c r="F56" s="1089">
        <v>1462</v>
      </c>
      <c r="G56" s="1089">
        <v>1061</v>
      </c>
      <c r="H56" s="1089">
        <v>1333</v>
      </c>
      <c r="I56" s="1089">
        <v>1807</v>
      </c>
      <c r="J56" s="1089">
        <v>1899</v>
      </c>
      <c r="K56" s="1089">
        <v>1256</v>
      </c>
      <c r="L56" s="1089">
        <v>1660437</v>
      </c>
      <c r="M56" s="1089"/>
      <c r="N56" s="1089"/>
      <c r="O56" s="1089"/>
      <c r="P56" s="1089"/>
      <c r="Q56" s="1089"/>
      <c r="R56" s="1089"/>
      <c r="S56" s="1089"/>
      <c r="T56" s="1089"/>
      <c r="U56" s="1185" t="s">
        <v>2425</v>
      </c>
    </row>
    <row r="57" spans="1:21" s="1087" customFormat="1" ht="16.149999999999999" hidden="1" customHeight="1">
      <c r="A57" s="1184" t="s">
        <v>2424</v>
      </c>
      <c r="B57" s="1090" t="s">
        <v>2392</v>
      </c>
      <c r="C57" s="1089">
        <v>4754</v>
      </c>
      <c r="D57" s="1089">
        <v>3169838</v>
      </c>
      <c r="E57" s="1089">
        <f>3504865/1000</f>
        <v>3504.8649999999998</v>
      </c>
      <c r="F57" s="1089">
        <v>5685</v>
      </c>
      <c r="G57" s="1089">
        <v>8098</v>
      </c>
      <c r="H57" s="1089">
        <v>7311</v>
      </c>
      <c r="I57" s="1089">
        <v>13690</v>
      </c>
      <c r="J57" s="1089">
        <v>14186</v>
      </c>
      <c r="K57" s="1089">
        <v>16255</v>
      </c>
      <c r="L57" s="1089">
        <v>19752016</v>
      </c>
      <c r="M57" s="1089"/>
      <c r="N57" s="1089"/>
      <c r="O57" s="1089"/>
      <c r="P57" s="1089"/>
      <c r="Q57" s="1089"/>
      <c r="R57" s="1089"/>
      <c r="S57" s="1089"/>
      <c r="T57" s="1089"/>
      <c r="U57" s="1185" t="s">
        <v>2423</v>
      </c>
    </row>
    <row r="58" spans="1:21" s="1087" customFormat="1" ht="16.149999999999999" hidden="1" customHeight="1">
      <c r="A58" s="1184" t="s">
        <v>2422</v>
      </c>
      <c r="B58" s="1090" t="s">
        <v>2392</v>
      </c>
      <c r="C58" s="1089">
        <v>1007088</v>
      </c>
      <c r="D58" s="1089">
        <v>1047831</v>
      </c>
      <c r="E58" s="1089">
        <v>1233221</v>
      </c>
      <c r="F58" s="1089">
        <v>766382</v>
      </c>
      <c r="G58" s="1089">
        <v>1258207</v>
      </c>
      <c r="H58" s="1089">
        <v>1218261</v>
      </c>
      <c r="I58" s="1089">
        <v>1352812</v>
      </c>
      <c r="J58" s="1089">
        <v>1576265</v>
      </c>
      <c r="K58" s="1089">
        <v>1833783</v>
      </c>
      <c r="L58" s="1089">
        <v>1580675</v>
      </c>
      <c r="M58" s="1089"/>
      <c r="N58" s="1089"/>
      <c r="O58" s="1089"/>
      <c r="P58" s="1089"/>
      <c r="Q58" s="1089"/>
      <c r="R58" s="1089"/>
      <c r="S58" s="1089"/>
      <c r="T58" s="1089"/>
      <c r="U58" s="1185" t="s">
        <v>2421</v>
      </c>
    </row>
    <row r="59" spans="1:21" s="1087" customFormat="1" ht="16.149999999999999" customHeight="1">
      <c r="A59" s="1184" t="s">
        <v>2326</v>
      </c>
      <c r="B59" s="1090" t="s">
        <v>2392</v>
      </c>
      <c r="C59" s="1089">
        <v>122</v>
      </c>
      <c r="D59" s="1089"/>
      <c r="E59" s="1089"/>
      <c r="F59" s="1089"/>
      <c r="G59" s="1089"/>
      <c r="H59" s="1089">
        <v>0</v>
      </c>
      <c r="I59" s="1089"/>
      <c r="J59" s="1089"/>
      <c r="K59" s="1089"/>
      <c r="L59" s="1089"/>
      <c r="M59" s="1089">
        <v>0</v>
      </c>
      <c r="N59" s="1089">
        <v>0</v>
      </c>
      <c r="O59" s="1089"/>
      <c r="P59" s="1089">
        <v>0</v>
      </c>
      <c r="Q59" s="1089">
        <v>0</v>
      </c>
      <c r="R59" s="1089">
        <v>0</v>
      </c>
      <c r="S59" s="1089">
        <v>0</v>
      </c>
      <c r="T59" s="1089">
        <v>0</v>
      </c>
      <c r="U59" s="1185" t="s">
        <v>2327</v>
      </c>
    </row>
    <row r="60" spans="1:21" s="1087" customFormat="1" ht="16.149999999999999" hidden="1" customHeight="1">
      <c r="A60" s="1184" t="s">
        <v>2420</v>
      </c>
      <c r="B60" s="1090" t="s">
        <v>2392</v>
      </c>
      <c r="C60" s="1089">
        <v>182526</v>
      </c>
      <c r="D60" s="1089">
        <v>147807</v>
      </c>
      <c r="E60" s="1089">
        <v>203707</v>
      </c>
      <c r="F60" s="1089">
        <v>255699</v>
      </c>
      <c r="G60" s="1089">
        <v>240747</v>
      </c>
      <c r="H60" s="1089">
        <v>240082</v>
      </c>
      <c r="I60" s="1089">
        <v>239811</v>
      </c>
      <c r="J60" s="1089">
        <v>255891</v>
      </c>
      <c r="K60" s="1089">
        <v>247968</v>
      </c>
      <c r="L60" s="1089">
        <v>224677</v>
      </c>
      <c r="M60" s="1089"/>
      <c r="N60" s="1089"/>
      <c r="O60" s="1089"/>
      <c r="P60" s="1089"/>
      <c r="Q60" s="1089"/>
      <c r="R60" s="1089"/>
      <c r="S60" s="1089"/>
      <c r="T60" s="1089"/>
      <c r="U60" s="1185" t="s">
        <v>2419</v>
      </c>
    </row>
    <row r="61" spans="1:21" s="1087" customFormat="1" ht="16.149999999999999" hidden="1" customHeight="1">
      <c r="A61" s="1184" t="s">
        <v>2418</v>
      </c>
      <c r="B61" s="1090" t="s">
        <v>2392</v>
      </c>
      <c r="C61" s="1089">
        <v>340953</v>
      </c>
      <c r="D61" s="1089"/>
      <c r="E61" s="1089"/>
      <c r="F61" s="1089"/>
      <c r="G61" s="1089"/>
      <c r="H61" s="1089">
        <v>253205</v>
      </c>
      <c r="I61" s="1089"/>
      <c r="J61" s="1089"/>
      <c r="K61" s="1089"/>
      <c r="L61" s="1089"/>
      <c r="M61" s="1089"/>
      <c r="N61" s="1089"/>
      <c r="O61" s="1089"/>
      <c r="P61" s="1089"/>
      <c r="Q61" s="1089"/>
      <c r="R61" s="1089"/>
      <c r="S61" s="1089"/>
      <c r="T61" s="1089"/>
      <c r="U61" s="1185" t="s">
        <v>2417</v>
      </c>
    </row>
    <row r="62" spans="1:21" s="1087" customFormat="1" ht="16.149999999999999" hidden="1" customHeight="1">
      <c r="A62" s="1184" t="s">
        <v>2416</v>
      </c>
      <c r="B62" s="1090" t="s">
        <v>2392</v>
      </c>
      <c r="C62" s="1089">
        <v>302259</v>
      </c>
      <c r="D62" s="1089">
        <v>293660</v>
      </c>
      <c r="E62" s="1089">
        <v>315281</v>
      </c>
      <c r="F62" s="1089">
        <v>430734</v>
      </c>
      <c r="G62" s="1089">
        <v>512320</v>
      </c>
      <c r="H62" s="1089">
        <v>497546</v>
      </c>
      <c r="I62" s="1089">
        <v>520146</v>
      </c>
      <c r="J62" s="1089">
        <v>782575</v>
      </c>
      <c r="K62" s="1089">
        <v>1384155</v>
      </c>
      <c r="L62" s="1089">
        <v>1488743</v>
      </c>
      <c r="M62" s="1089"/>
      <c r="N62" s="1089"/>
      <c r="O62" s="1089"/>
      <c r="P62" s="1089"/>
      <c r="Q62" s="1089"/>
      <c r="R62" s="1089"/>
      <c r="S62" s="1089"/>
      <c r="T62" s="1089"/>
      <c r="U62" s="1185" t="s">
        <v>2415</v>
      </c>
    </row>
    <row r="63" spans="1:21" s="1087" customFormat="1" ht="16.149999999999999" hidden="1" customHeight="1">
      <c r="A63" s="1184" t="s">
        <v>2414</v>
      </c>
      <c r="B63" s="1090" t="s">
        <v>2392</v>
      </c>
      <c r="C63" s="1089">
        <v>109210</v>
      </c>
      <c r="D63" s="1089">
        <v>102711</v>
      </c>
      <c r="E63" s="1089">
        <v>95850</v>
      </c>
      <c r="F63" s="1089">
        <v>97458</v>
      </c>
      <c r="G63" s="1089">
        <v>112652</v>
      </c>
      <c r="H63" s="1089">
        <v>118117</v>
      </c>
      <c r="I63" s="1089">
        <v>181065</v>
      </c>
      <c r="J63" s="1089">
        <v>272141</v>
      </c>
      <c r="K63" s="1089">
        <v>501399</v>
      </c>
      <c r="L63" s="1089">
        <v>584235</v>
      </c>
      <c r="M63" s="1089"/>
      <c r="N63" s="1089"/>
      <c r="O63" s="1089"/>
      <c r="P63" s="1089"/>
      <c r="Q63" s="1089"/>
      <c r="R63" s="1089"/>
      <c r="S63" s="1089"/>
      <c r="T63" s="1089"/>
      <c r="U63" s="1185" t="s">
        <v>2413</v>
      </c>
    </row>
    <row r="64" spans="1:21" s="1087" customFormat="1" ht="16.149999999999999" hidden="1" customHeight="1">
      <c r="A64" s="1184" t="s">
        <v>2412</v>
      </c>
      <c r="B64" s="1090" t="s">
        <v>2392</v>
      </c>
      <c r="C64" s="1089">
        <v>2369977</v>
      </c>
      <c r="D64" s="1089">
        <v>2663289</v>
      </c>
      <c r="E64" s="1089">
        <v>4303513</v>
      </c>
      <c r="F64" s="1089">
        <v>2836804</v>
      </c>
      <c r="G64" s="1089">
        <v>2545988</v>
      </c>
      <c r="H64" s="1089">
        <v>3380968</v>
      </c>
      <c r="I64" s="1089">
        <v>4334925</v>
      </c>
      <c r="J64" s="1089">
        <v>4867667</v>
      </c>
      <c r="K64" s="1089">
        <v>4303883</v>
      </c>
      <c r="L64" s="1089">
        <v>3724241</v>
      </c>
      <c r="M64" s="1089"/>
      <c r="N64" s="1089"/>
      <c r="O64" s="1089"/>
      <c r="P64" s="1089"/>
      <c r="Q64" s="1089"/>
      <c r="R64" s="1089"/>
      <c r="S64" s="1089"/>
      <c r="T64" s="1089"/>
      <c r="U64" s="1185" t="s">
        <v>2411</v>
      </c>
    </row>
    <row r="65" spans="1:21" s="1087" customFormat="1" ht="16.149999999999999" customHeight="1">
      <c r="A65" s="1184" t="s">
        <v>2410</v>
      </c>
      <c r="B65" s="1090" t="s">
        <v>2392</v>
      </c>
      <c r="C65" s="1089" t="s">
        <v>47</v>
      </c>
      <c r="D65" s="1089"/>
      <c r="E65" s="1089"/>
      <c r="F65" s="1089"/>
      <c r="G65" s="1089"/>
      <c r="H65" s="1089" t="s">
        <v>47</v>
      </c>
      <c r="I65" s="1089"/>
      <c r="J65" s="1089">
        <v>30</v>
      </c>
      <c r="K65" s="1089">
        <v>3118</v>
      </c>
      <c r="L65" s="1089">
        <v>29963</v>
      </c>
      <c r="M65" s="1089">
        <v>6383</v>
      </c>
      <c r="N65" s="1089">
        <v>26042</v>
      </c>
      <c r="O65" s="1089">
        <v>27685</v>
      </c>
      <c r="P65" s="1089">
        <v>7100</v>
      </c>
      <c r="Q65" s="1089">
        <v>14804.76</v>
      </c>
      <c r="R65" s="1089">
        <v>12904.81</v>
      </c>
      <c r="S65" s="1089">
        <v>14363.007</v>
      </c>
      <c r="T65" s="1089">
        <v>16842.830000000002</v>
      </c>
      <c r="U65" s="1185" t="s">
        <v>2409</v>
      </c>
    </row>
    <row r="66" spans="1:21" s="1087" customFormat="1" ht="16.149999999999999" hidden="1" customHeight="1">
      <c r="A66" s="1184" t="s">
        <v>2408</v>
      </c>
      <c r="B66" s="1090" t="s">
        <v>2392</v>
      </c>
      <c r="C66" s="1089">
        <v>2277632</v>
      </c>
      <c r="D66" s="1089">
        <v>1770235</v>
      </c>
      <c r="E66" s="1089">
        <v>1804306</v>
      </c>
      <c r="F66" s="1089">
        <v>1808185</v>
      </c>
      <c r="G66" s="1089">
        <v>2159405</v>
      </c>
      <c r="H66" s="1089">
        <v>2057119</v>
      </c>
      <c r="I66" s="1089">
        <v>2625329</v>
      </c>
      <c r="J66" s="1089">
        <v>2625111</v>
      </c>
      <c r="K66" s="1089">
        <v>2638424</v>
      </c>
      <c r="L66" s="1089">
        <v>2552918</v>
      </c>
      <c r="M66" s="1089"/>
      <c r="N66" s="1089"/>
      <c r="O66" s="1089"/>
      <c r="P66" s="1089"/>
      <c r="Q66" s="1089"/>
      <c r="R66" s="1089"/>
      <c r="S66" s="1089"/>
      <c r="T66" s="1089"/>
      <c r="U66" s="1185" t="s">
        <v>2407</v>
      </c>
    </row>
    <row r="67" spans="1:21" s="1087" customFormat="1" ht="16.149999999999999" customHeight="1">
      <c r="A67" s="1184" t="s">
        <v>2406</v>
      </c>
      <c r="B67" s="1090"/>
      <c r="C67" s="1089">
        <v>1871</v>
      </c>
      <c r="D67" s="1089"/>
      <c r="E67" s="1089"/>
      <c r="F67" s="1089"/>
      <c r="G67" s="1089"/>
      <c r="H67" s="1089">
        <v>1200</v>
      </c>
      <c r="I67" s="1089"/>
      <c r="J67" s="1089"/>
      <c r="K67" s="1089"/>
      <c r="L67" s="1089"/>
      <c r="M67" s="1089">
        <v>0</v>
      </c>
      <c r="N67" s="1089">
        <v>0</v>
      </c>
      <c r="O67" s="1089">
        <v>0</v>
      </c>
      <c r="P67" s="1089">
        <v>47</v>
      </c>
      <c r="Q67" s="1089">
        <v>17</v>
      </c>
      <c r="R67" s="1089">
        <v>130</v>
      </c>
      <c r="S67" s="1089">
        <v>486</v>
      </c>
      <c r="T67" s="1089">
        <v>286</v>
      </c>
      <c r="U67" s="1185" t="s">
        <v>2405</v>
      </c>
    </row>
    <row r="68" spans="1:21" s="1087" customFormat="1" ht="16.149999999999999" hidden="1" customHeight="1">
      <c r="A68" s="1184" t="s">
        <v>2404</v>
      </c>
      <c r="B68" s="1090" t="s">
        <v>2392</v>
      </c>
      <c r="C68" s="1089">
        <v>2683853</v>
      </c>
      <c r="D68" s="1089">
        <v>2849877</v>
      </c>
      <c r="E68" s="1089">
        <v>2894922</v>
      </c>
      <c r="F68" s="1089">
        <v>3047063</v>
      </c>
      <c r="G68" s="1089">
        <v>3033948</v>
      </c>
      <c r="H68" s="1089">
        <v>3081622</v>
      </c>
      <c r="I68" s="1089">
        <v>3338919</v>
      </c>
      <c r="J68" s="1089">
        <v>3439775</v>
      </c>
      <c r="K68" s="1089">
        <v>3067718</v>
      </c>
      <c r="L68" s="1089">
        <v>3006945</v>
      </c>
      <c r="M68" s="1089"/>
      <c r="N68" s="1089"/>
      <c r="O68" s="1089"/>
      <c r="P68" s="1089"/>
      <c r="Q68" s="1089"/>
      <c r="R68" s="1089"/>
      <c r="S68" s="1089"/>
      <c r="T68" s="1089"/>
      <c r="U68" s="1185" t="s">
        <v>2403</v>
      </c>
    </row>
    <row r="69" spans="1:21" s="1087" customFormat="1" ht="16.149999999999999" customHeight="1">
      <c r="A69" s="1184" t="s">
        <v>2402</v>
      </c>
      <c r="B69" s="1090"/>
      <c r="C69" s="1089" t="s">
        <v>47</v>
      </c>
      <c r="D69" s="1089"/>
      <c r="E69" s="1089"/>
      <c r="F69" s="1089"/>
      <c r="G69" s="1089"/>
      <c r="H69" s="1089" t="s">
        <v>47</v>
      </c>
      <c r="I69" s="1089"/>
      <c r="J69" s="1089"/>
      <c r="K69" s="1089"/>
      <c r="L69" s="1089"/>
      <c r="M69" s="1089">
        <v>0</v>
      </c>
      <c r="N69" s="1089">
        <v>47386</v>
      </c>
      <c r="O69" s="1089">
        <v>77270</v>
      </c>
      <c r="P69" s="1089">
        <v>86662</v>
      </c>
      <c r="Q69" s="1089">
        <v>80237.070000000007</v>
      </c>
      <c r="R69" s="1089">
        <v>19367.150000000001</v>
      </c>
      <c r="S69" s="1089">
        <v>23822.95</v>
      </c>
      <c r="T69" s="1089">
        <v>31782.68</v>
      </c>
      <c r="U69" s="1185" t="s">
        <v>2401</v>
      </c>
    </row>
    <row r="70" spans="1:21" s="1087" customFormat="1" ht="16.149999999999999" hidden="1" customHeight="1">
      <c r="A70" s="1184" t="s">
        <v>2400</v>
      </c>
      <c r="B70" s="1090" t="s">
        <v>2392</v>
      </c>
      <c r="C70" s="1089">
        <v>2527</v>
      </c>
      <c r="D70" s="1089">
        <v>4</v>
      </c>
      <c r="E70" s="1089">
        <v>7827</v>
      </c>
      <c r="F70" s="1089">
        <v>8931</v>
      </c>
      <c r="G70" s="1089" t="s">
        <v>47</v>
      </c>
      <c r="H70" s="1089">
        <v>0</v>
      </c>
      <c r="I70" s="1089" t="s">
        <v>47</v>
      </c>
      <c r="J70" s="1089" t="s">
        <v>47</v>
      </c>
      <c r="K70" s="1089">
        <v>278</v>
      </c>
      <c r="L70" s="1089">
        <v>351</v>
      </c>
      <c r="M70" s="1089"/>
      <c r="N70" s="1089"/>
      <c r="O70" s="1089"/>
      <c r="P70" s="1089"/>
      <c r="Q70" s="1089"/>
      <c r="R70" s="1089"/>
      <c r="S70" s="1089"/>
      <c r="T70" s="1089"/>
      <c r="U70" s="1185" t="s">
        <v>2399</v>
      </c>
    </row>
    <row r="71" spans="1:21" s="1087" customFormat="1" ht="16.149999999999999" hidden="1" customHeight="1">
      <c r="A71" s="1184" t="s">
        <v>2398</v>
      </c>
      <c r="B71" s="1090" t="s">
        <v>2392</v>
      </c>
      <c r="C71" s="1089">
        <v>681534</v>
      </c>
      <c r="D71" s="1089">
        <v>739849</v>
      </c>
      <c r="E71" s="1089">
        <v>922505</v>
      </c>
      <c r="F71" s="1089">
        <v>15224</v>
      </c>
      <c r="G71" s="1089">
        <v>14598</v>
      </c>
      <c r="H71" s="1089">
        <v>902686</v>
      </c>
      <c r="I71" s="1089" t="s">
        <v>47</v>
      </c>
      <c r="J71" s="1089">
        <v>998438</v>
      </c>
      <c r="K71" s="1089">
        <v>971778</v>
      </c>
      <c r="L71" s="1089">
        <v>887925</v>
      </c>
      <c r="M71" s="1089"/>
      <c r="N71" s="1089"/>
      <c r="O71" s="1089"/>
      <c r="P71" s="1089"/>
      <c r="Q71" s="1089"/>
      <c r="R71" s="1089"/>
      <c r="S71" s="1089"/>
      <c r="T71" s="1089"/>
      <c r="U71" s="1185" t="s">
        <v>2397</v>
      </c>
    </row>
    <row r="72" spans="1:21" s="1087" customFormat="1" ht="16.149999999999999" customHeight="1">
      <c r="A72" s="1184" t="s">
        <v>2396</v>
      </c>
      <c r="B72" s="1090" t="s">
        <v>2392</v>
      </c>
      <c r="C72" s="1089" t="s">
        <v>47</v>
      </c>
      <c r="D72" s="1089">
        <v>0</v>
      </c>
      <c r="E72" s="1089">
        <v>3864</v>
      </c>
      <c r="F72" s="1089">
        <v>15224</v>
      </c>
      <c r="G72" s="1089">
        <v>14598</v>
      </c>
      <c r="H72" s="1089">
        <v>6736</v>
      </c>
      <c r="I72" s="1089">
        <v>12852</v>
      </c>
      <c r="J72" s="1089">
        <v>13047</v>
      </c>
      <c r="K72" s="1089">
        <v>7577</v>
      </c>
      <c r="L72" s="1089">
        <v>531</v>
      </c>
      <c r="M72" s="1089">
        <v>207</v>
      </c>
      <c r="N72" s="1089">
        <v>3103</v>
      </c>
      <c r="O72" s="1089">
        <v>4328</v>
      </c>
      <c r="P72" s="1089">
        <v>469</v>
      </c>
      <c r="Q72" s="1089">
        <v>2905.86</v>
      </c>
      <c r="R72" s="1089">
        <v>2153.9899999999998</v>
      </c>
      <c r="S72" s="1089">
        <v>401.63</v>
      </c>
      <c r="T72" s="1089">
        <v>756.49</v>
      </c>
      <c r="U72" s="1185" t="s">
        <v>2395</v>
      </c>
    </row>
    <row r="73" spans="1:21" s="1087" customFormat="1" ht="16.149999999999999" customHeight="1">
      <c r="A73" s="1184" t="s">
        <v>2394</v>
      </c>
      <c r="B73" s="1090" t="s">
        <v>2392</v>
      </c>
      <c r="C73" s="1089">
        <v>152090</v>
      </c>
      <c r="D73" s="1089">
        <v>204186</v>
      </c>
      <c r="E73" s="1089">
        <v>227311</v>
      </c>
      <c r="F73" s="1089">
        <v>269572</v>
      </c>
      <c r="G73" s="1089">
        <v>263124</v>
      </c>
      <c r="H73" s="1089">
        <v>236998</v>
      </c>
      <c r="I73" s="1089">
        <v>381146</v>
      </c>
      <c r="J73" s="1089">
        <v>381146</v>
      </c>
      <c r="K73" s="1089">
        <v>449004</v>
      </c>
      <c r="L73" s="1089">
        <v>390325</v>
      </c>
      <c r="M73" s="1089">
        <v>464672</v>
      </c>
      <c r="N73" s="1089">
        <v>473322</v>
      </c>
      <c r="O73" s="1089">
        <v>560825</v>
      </c>
      <c r="P73" s="1089">
        <v>825173</v>
      </c>
      <c r="Q73" s="1089">
        <v>890400</v>
      </c>
      <c r="R73" s="1089">
        <v>900942</v>
      </c>
      <c r="S73" s="1089">
        <v>737337</v>
      </c>
      <c r="T73" s="1089">
        <v>880857</v>
      </c>
      <c r="U73" s="1185" t="s">
        <v>2393</v>
      </c>
    </row>
    <row r="74" spans="1:21" s="1087" customFormat="1" ht="16.149999999999999" customHeight="1">
      <c r="A74" s="1184" t="s">
        <v>2375</v>
      </c>
      <c r="B74" s="1090" t="s">
        <v>2392</v>
      </c>
      <c r="C74" s="1089">
        <v>6674</v>
      </c>
      <c r="D74" s="1089">
        <v>11827</v>
      </c>
      <c r="E74" s="1089">
        <v>8910</v>
      </c>
      <c r="F74" s="1089">
        <v>12647</v>
      </c>
      <c r="G74" s="1089">
        <v>11662</v>
      </c>
      <c r="H74" s="1089">
        <v>19234</v>
      </c>
      <c r="I74" s="1089">
        <v>9746</v>
      </c>
      <c r="J74" s="1089">
        <v>10194</v>
      </c>
      <c r="K74" s="1089">
        <v>7947</v>
      </c>
      <c r="L74" s="1089">
        <v>11851</v>
      </c>
      <c r="M74" s="1089">
        <v>19336</v>
      </c>
      <c r="N74" s="1089">
        <v>23279</v>
      </c>
      <c r="O74" s="1089">
        <v>9042</v>
      </c>
      <c r="P74" s="1089">
        <v>6054</v>
      </c>
      <c r="Q74" s="1089">
        <v>2992</v>
      </c>
      <c r="R74" s="1089">
        <v>2774</v>
      </c>
      <c r="S74" s="1089">
        <v>1260</v>
      </c>
      <c r="T74" s="1089">
        <v>3061</v>
      </c>
      <c r="U74" s="1185" t="s">
        <v>2376</v>
      </c>
    </row>
    <row r="75" spans="1:21" s="1087" customFormat="1" ht="16.149999999999999" customHeight="1">
      <c r="A75" s="1609" t="s">
        <v>2377</v>
      </c>
      <c r="B75" s="1610" t="s">
        <v>2392</v>
      </c>
      <c r="C75" s="1611">
        <v>128582</v>
      </c>
      <c r="D75" s="1611">
        <v>131572</v>
      </c>
      <c r="E75" s="1611">
        <v>118666</v>
      </c>
      <c r="F75" s="1611">
        <v>111581</v>
      </c>
      <c r="G75" s="1611">
        <v>132385</v>
      </c>
      <c r="H75" s="1611">
        <v>183381</v>
      </c>
      <c r="I75" s="1611">
        <v>184445</v>
      </c>
      <c r="J75" s="1611">
        <v>184445</v>
      </c>
      <c r="K75" s="1611">
        <v>145667</v>
      </c>
      <c r="L75" s="1611">
        <v>192712</v>
      </c>
      <c r="M75" s="1611">
        <v>186524</v>
      </c>
      <c r="N75" s="1611">
        <v>175348</v>
      </c>
      <c r="O75" s="1611">
        <v>166186</v>
      </c>
      <c r="P75" s="1611">
        <v>153049</v>
      </c>
      <c r="Q75" s="1611">
        <v>184063</v>
      </c>
      <c r="R75" s="1611">
        <v>124757</v>
      </c>
      <c r="S75" s="1611">
        <v>103902</v>
      </c>
      <c r="T75" s="1611">
        <v>108383</v>
      </c>
      <c r="U75" s="1185" t="s">
        <v>2378</v>
      </c>
    </row>
    <row r="76" spans="1:21" s="1087" customFormat="1" ht="15.75" customHeight="1">
      <c r="A76" s="1887" t="s">
        <v>2391</v>
      </c>
      <c r="B76" s="1888"/>
      <c r="C76" s="1888"/>
      <c r="D76" s="1888"/>
      <c r="E76" s="1888"/>
      <c r="F76" s="1888"/>
      <c r="G76" s="1888"/>
      <c r="H76" s="1888"/>
      <c r="I76" s="1888"/>
      <c r="J76" s="1888"/>
      <c r="K76" s="1888"/>
      <c r="L76" s="1888"/>
      <c r="M76" s="1888"/>
      <c r="N76" s="1888"/>
      <c r="O76" s="1888"/>
      <c r="P76" s="1888"/>
      <c r="Q76" s="1888"/>
      <c r="R76" s="1888"/>
      <c r="S76" s="1888"/>
      <c r="T76" s="1888"/>
      <c r="U76" s="1187"/>
    </row>
    <row r="77" spans="1:21">
      <c r="A77" s="1086" t="s">
        <v>2390</v>
      </c>
      <c r="B77" s="1545"/>
      <c r="C77" s="1188"/>
      <c r="D77" s="1545"/>
      <c r="E77" s="1545"/>
      <c r="F77" s="1545"/>
      <c r="G77" s="1545"/>
      <c r="H77" s="1545"/>
      <c r="I77" s="1189" t="s">
        <v>2389</v>
      </c>
      <c r="J77" s="1545"/>
      <c r="K77" s="1545"/>
      <c r="L77" s="1190"/>
      <c r="M77" s="1190"/>
      <c r="N77" s="1190"/>
      <c r="O77" s="1191"/>
      <c r="P77" s="1191"/>
      <c r="Q77" s="1191"/>
      <c r="R77" s="1191"/>
      <c r="S77" s="1191"/>
      <c r="U77" s="1192" t="s">
        <v>2388</v>
      </c>
    </row>
    <row r="78" spans="1:21" ht="15" hidden="1" customHeight="1">
      <c r="A78" s="1889" t="s">
        <v>2387</v>
      </c>
      <c r="B78" s="1890"/>
      <c r="C78" s="1890"/>
      <c r="D78" s="1890"/>
      <c r="E78" s="1890"/>
      <c r="F78" s="1890"/>
      <c r="G78" s="1890"/>
      <c r="H78" s="1890"/>
      <c r="I78" s="1890"/>
      <c r="J78" s="1890"/>
      <c r="K78" s="1890"/>
      <c r="L78" s="1890"/>
      <c r="M78" s="1890"/>
      <c r="N78" s="1890"/>
      <c r="O78" s="1890"/>
      <c r="P78" s="1191"/>
      <c r="Q78" s="1191"/>
      <c r="R78" s="1191"/>
      <c r="S78" s="1191"/>
      <c r="U78" s="1193"/>
    </row>
    <row r="79" spans="1:21" ht="30">
      <c r="A79" s="1889" t="s">
        <v>2386</v>
      </c>
      <c r="B79" s="1890"/>
      <c r="C79" s="1890"/>
      <c r="D79" s="1890"/>
      <c r="E79" s="1890"/>
      <c r="F79" s="1890"/>
      <c r="G79" s="1890"/>
      <c r="H79" s="1890"/>
      <c r="I79" s="1890"/>
      <c r="J79" s="1890"/>
      <c r="K79" s="1890"/>
      <c r="L79" s="1890"/>
      <c r="M79" s="1890"/>
      <c r="N79" s="1890"/>
      <c r="P79" s="1191"/>
      <c r="Q79" s="1191"/>
      <c r="R79" s="1191"/>
      <c r="S79" s="1191"/>
      <c r="U79" s="1194" t="s">
        <v>2385</v>
      </c>
    </row>
    <row r="80" spans="1:21" ht="15.75" customHeight="1" thickBot="1">
      <c r="A80" s="1878" t="s">
        <v>2384</v>
      </c>
      <c r="B80" s="1879"/>
      <c r="C80" s="1879"/>
      <c r="D80" s="1879"/>
      <c r="E80" s="1879"/>
      <c r="F80" s="1879"/>
      <c r="G80" s="1879"/>
      <c r="H80" s="1879"/>
      <c r="I80" s="1879"/>
      <c r="J80" s="1879"/>
      <c r="K80" s="1879"/>
      <c r="L80" s="1879"/>
      <c r="M80" s="1879"/>
      <c r="N80" s="1879"/>
      <c r="O80" s="1879"/>
      <c r="P80" s="1879"/>
      <c r="Q80" s="1879"/>
      <c r="R80" s="1879"/>
      <c r="S80" s="1879"/>
      <c r="T80" s="1879"/>
      <c r="U80" s="1195"/>
    </row>
    <row r="81" spans="6:6" ht="15.75" thickTop="1"/>
    <row r="85" spans="6:6">
      <c r="F85" s="1085"/>
    </row>
  </sheetData>
  <mergeCells count="7">
    <mergeCell ref="A80:T80"/>
    <mergeCell ref="A1:U1"/>
    <mergeCell ref="A9:S9"/>
    <mergeCell ref="A24:S24"/>
    <mergeCell ref="A76:T76"/>
    <mergeCell ref="A78:O78"/>
    <mergeCell ref="A79:N79"/>
  </mergeCells>
  <conditionalFormatting sqref="V4:XFD75 U4 B25:S75 A4:A75 B4:S8 B10:S23 U9 U24:U25 T4:T75">
    <cfRule type="expression" dxfId="114" priority="2">
      <formula>MOD(ROW(),3)=1</formula>
    </cfRule>
  </conditionalFormatting>
  <conditionalFormatting sqref="B25:S75 A4:A75 Y4:XFD8 V4:X4 W7:X7 B10:U23 W10:XFD23 V24:XFD25 T24:U75 T9:XFD9 W26:XFD75 B4:U8">
    <cfRule type="expression" dxfId="113" priority="1">
      <formula>MOD(ROW(),3)=1</formula>
    </cfRule>
  </conditionalFormatting>
  <pageMargins left="0.39370078740157483" right="0.31496062992125984" top="0.6692913385826772" bottom="0.51181102362204722" header="0.31496062992125984" footer="0.27559055118110237"/>
  <pageSetup scale="88" fitToWidth="0" fitToHeight="0" orientation="landscape" r:id="rId1"/>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E165A-7FCF-4369-8CAB-D8A9A65C4421}">
  <dimension ref="A1:CC97"/>
  <sheetViews>
    <sheetView view="pageBreakPreview" zoomScaleNormal="100" zoomScaleSheetLayoutView="100" workbookViewId="0">
      <selection activeCell="S17" sqref="S17"/>
    </sheetView>
  </sheetViews>
  <sheetFormatPr defaultColWidth="9.140625" defaultRowHeight="15"/>
  <cols>
    <col min="1" max="1" width="20.85546875" style="700" customWidth="1"/>
    <col min="2" max="2" width="12.7109375" style="700" customWidth="1"/>
    <col min="3" max="5" width="10.28515625" style="700" customWidth="1"/>
    <col min="6" max="6" width="13.7109375" style="700" customWidth="1"/>
    <col min="7" max="7" width="8.5703125" style="700" customWidth="1"/>
    <col min="8" max="8" width="26.85546875" style="700" customWidth="1"/>
    <col min="9" max="11" width="0" style="700" hidden="1" customWidth="1"/>
    <col min="12" max="81" width="9.140625" style="1687"/>
    <col min="82" max="16384" width="9.140625" style="700"/>
  </cols>
  <sheetData>
    <row r="1" spans="1:81" s="701" customFormat="1" ht="30" customHeight="1" thickTop="1">
      <c r="A1" s="2146" t="s">
        <v>2756</v>
      </c>
      <c r="B1" s="2147"/>
      <c r="C1" s="2147"/>
      <c r="D1" s="2147"/>
      <c r="E1" s="2147"/>
      <c r="F1" s="2147"/>
      <c r="G1" s="2147"/>
      <c r="H1" s="2148"/>
      <c r="L1" s="1685"/>
      <c r="M1" s="1685"/>
      <c r="N1" s="1685"/>
      <c r="O1" s="1685"/>
      <c r="P1" s="1685"/>
      <c r="Q1" s="1685"/>
      <c r="R1" s="1685"/>
      <c r="S1" s="1685"/>
      <c r="T1" s="1685"/>
      <c r="U1" s="1685"/>
      <c r="V1" s="1685"/>
      <c r="W1" s="1685"/>
      <c r="X1" s="1685"/>
      <c r="Y1" s="1685"/>
      <c r="Z1" s="1685"/>
      <c r="AA1" s="1685"/>
      <c r="AB1" s="1685"/>
      <c r="AC1" s="1685"/>
      <c r="AD1" s="1685"/>
      <c r="AE1" s="1685"/>
      <c r="AF1" s="1685"/>
      <c r="AG1" s="1685"/>
      <c r="AH1" s="1685"/>
      <c r="AI1" s="1685"/>
      <c r="AJ1" s="1685"/>
      <c r="AK1" s="1685"/>
      <c r="AL1" s="1685"/>
      <c r="AM1" s="1685"/>
      <c r="AN1" s="1685"/>
      <c r="AO1" s="1685"/>
      <c r="AP1" s="1685"/>
      <c r="AQ1" s="1685"/>
      <c r="AR1" s="1685"/>
      <c r="AS1" s="1685"/>
      <c r="AT1" s="1685"/>
      <c r="AU1" s="1685"/>
      <c r="AV1" s="1685"/>
      <c r="AW1" s="1685"/>
      <c r="AX1" s="1685"/>
      <c r="AY1" s="1685"/>
      <c r="AZ1" s="1685"/>
      <c r="BA1" s="1685"/>
      <c r="BB1" s="1685"/>
      <c r="BC1" s="1685"/>
      <c r="BD1" s="1685"/>
      <c r="BE1" s="1685"/>
      <c r="BF1" s="1685"/>
      <c r="BG1" s="1685"/>
      <c r="BH1" s="1685"/>
      <c r="BI1" s="1685"/>
      <c r="BJ1" s="1685"/>
      <c r="BK1" s="1685"/>
      <c r="BL1" s="1685"/>
      <c r="BM1" s="1685"/>
      <c r="BN1" s="1685"/>
      <c r="BO1" s="1685"/>
      <c r="BP1" s="1685"/>
      <c r="BQ1" s="1685"/>
      <c r="BR1" s="1685"/>
      <c r="BS1" s="1685"/>
      <c r="BT1" s="1685"/>
      <c r="BU1" s="1685"/>
      <c r="BV1" s="1685"/>
      <c r="BW1" s="1685"/>
      <c r="BX1" s="1685"/>
      <c r="BY1" s="1685"/>
      <c r="BZ1" s="1685"/>
      <c r="CA1" s="1685"/>
      <c r="CB1" s="1685"/>
      <c r="CC1" s="1685"/>
    </row>
    <row r="2" spans="1:81" s="712" customFormat="1" ht="24.75" customHeight="1">
      <c r="A2" s="2143" t="s">
        <v>2757</v>
      </c>
      <c r="B2" s="2144"/>
      <c r="C2" s="2144"/>
      <c r="D2" s="2144"/>
      <c r="E2" s="2144"/>
      <c r="F2" s="2144"/>
      <c r="G2" s="2144"/>
      <c r="H2" s="2145"/>
      <c r="L2" s="1686"/>
      <c r="M2" s="1686"/>
      <c r="N2" s="1686"/>
      <c r="O2" s="1686"/>
      <c r="P2" s="1686"/>
      <c r="Q2" s="1686"/>
      <c r="R2" s="1686"/>
      <c r="S2" s="1686"/>
      <c r="T2" s="1686"/>
      <c r="U2" s="1686"/>
      <c r="V2" s="1686"/>
      <c r="W2" s="1686"/>
      <c r="X2" s="1686"/>
      <c r="Y2" s="1686"/>
      <c r="Z2" s="1686"/>
      <c r="AA2" s="1686"/>
      <c r="AB2" s="1686"/>
      <c r="AC2" s="1686"/>
      <c r="AD2" s="1686"/>
      <c r="AE2" s="1686"/>
      <c r="AF2" s="1686"/>
      <c r="AG2" s="1686"/>
      <c r="AH2" s="1686"/>
      <c r="AI2" s="1686"/>
      <c r="AJ2" s="1686"/>
      <c r="AK2" s="1686"/>
      <c r="AL2" s="1686"/>
      <c r="AM2" s="1686"/>
      <c r="AN2" s="1686"/>
      <c r="AO2" s="1686"/>
      <c r="AP2" s="1686"/>
      <c r="AQ2" s="1686"/>
      <c r="AR2" s="1686"/>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c r="BP2" s="1686"/>
      <c r="BQ2" s="1686"/>
      <c r="BR2" s="1686"/>
      <c r="BS2" s="1686"/>
      <c r="BT2" s="1686"/>
      <c r="BU2" s="1686"/>
      <c r="BV2" s="1686"/>
      <c r="BW2" s="1686"/>
      <c r="BX2" s="1686"/>
      <c r="BY2" s="1686"/>
      <c r="BZ2" s="1686"/>
      <c r="CA2" s="1686"/>
      <c r="CB2" s="1686"/>
      <c r="CC2" s="1686"/>
    </row>
    <row r="3" spans="1:81" s="701" customFormat="1">
      <c r="A3" s="2134" t="s">
        <v>1401</v>
      </c>
      <c r="B3" s="2135"/>
      <c r="C3" s="2135"/>
      <c r="D3" s="2135"/>
      <c r="E3" s="2135"/>
      <c r="F3" s="2135"/>
      <c r="G3" s="2135"/>
      <c r="H3" s="2136"/>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c r="AP3" s="1685"/>
      <c r="AQ3" s="1685"/>
      <c r="AR3" s="1685"/>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c r="BP3" s="1685"/>
      <c r="BQ3" s="1685"/>
      <c r="BR3" s="1685"/>
      <c r="BS3" s="1685"/>
      <c r="BT3" s="1685"/>
      <c r="BU3" s="1685"/>
      <c r="BV3" s="1685"/>
      <c r="BW3" s="1685"/>
      <c r="BX3" s="1685"/>
      <c r="BY3" s="1685"/>
      <c r="BZ3" s="1685"/>
      <c r="CA3" s="1685"/>
      <c r="CB3" s="1685"/>
      <c r="CC3" s="1685"/>
    </row>
    <row r="4" spans="1:81" s="707" customFormat="1" ht="36.75" customHeight="1">
      <c r="A4" s="2154" t="s">
        <v>1341</v>
      </c>
      <c r="B4" s="2150" t="s">
        <v>1400</v>
      </c>
      <c r="C4" s="2151"/>
      <c r="D4" s="2151"/>
      <c r="E4" s="2151"/>
      <c r="F4" s="2152" t="s">
        <v>1399</v>
      </c>
      <c r="G4" s="2152" t="s">
        <v>1398</v>
      </c>
      <c r="H4" s="2149" t="s">
        <v>1339</v>
      </c>
      <c r="I4" s="711"/>
      <c r="J4" s="710"/>
      <c r="K4" s="710"/>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c r="AP4" s="1685"/>
      <c r="AQ4" s="1685"/>
      <c r="AR4" s="1685"/>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c r="BP4" s="1685"/>
      <c r="BQ4" s="1685"/>
      <c r="BR4" s="1685"/>
      <c r="BS4" s="1685"/>
      <c r="BT4" s="1685"/>
      <c r="BU4" s="1685"/>
      <c r="BV4" s="1685"/>
      <c r="BW4" s="1685"/>
      <c r="BX4" s="1685"/>
      <c r="BY4" s="1685"/>
      <c r="BZ4" s="1685"/>
      <c r="CA4" s="1685"/>
      <c r="CB4" s="1685"/>
      <c r="CC4" s="1685"/>
    </row>
    <row r="5" spans="1:81" s="707" customFormat="1" ht="122.25" customHeight="1">
      <c r="A5" s="2154"/>
      <c r="B5" s="1549" t="s">
        <v>1397</v>
      </c>
      <c r="C5" s="1549" t="s">
        <v>1396</v>
      </c>
      <c r="D5" s="1549" t="s">
        <v>1395</v>
      </c>
      <c r="E5" s="1549" t="s">
        <v>1394</v>
      </c>
      <c r="F5" s="2152"/>
      <c r="G5" s="2153"/>
      <c r="H5" s="2149"/>
      <c r="I5" s="709"/>
      <c r="J5" s="708"/>
      <c r="K5" s="708"/>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c r="AP5" s="1685"/>
      <c r="AQ5" s="1685"/>
      <c r="AR5" s="1685"/>
      <c r="AS5" s="1685"/>
      <c r="AT5" s="1685"/>
      <c r="AU5" s="1685"/>
      <c r="AV5" s="1685"/>
      <c r="AW5" s="1685"/>
      <c r="AX5" s="1685"/>
      <c r="AY5" s="1685"/>
      <c r="AZ5" s="1685"/>
      <c r="BA5" s="1685"/>
      <c r="BB5" s="1685"/>
      <c r="BC5" s="1685"/>
      <c r="BD5" s="1685"/>
      <c r="BE5" s="1685"/>
      <c r="BF5" s="1685"/>
      <c r="BG5" s="1685"/>
      <c r="BH5" s="1685"/>
      <c r="BI5" s="1685"/>
      <c r="BJ5" s="1685"/>
      <c r="BK5" s="1685"/>
      <c r="BL5" s="1685"/>
      <c r="BM5" s="1685"/>
      <c r="BN5" s="1685"/>
      <c r="BO5" s="1685"/>
      <c r="BP5" s="1685"/>
      <c r="BQ5" s="1685"/>
      <c r="BR5" s="1685"/>
      <c r="BS5" s="1685"/>
      <c r="BT5" s="1685"/>
      <c r="BU5" s="1685"/>
      <c r="BV5" s="1685"/>
      <c r="BW5" s="1685"/>
      <c r="BX5" s="1685"/>
      <c r="BY5" s="1685"/>
      <c r="BZ5" s="1685"/>
      <c r="CA5" s="1685"/>
      <c r="CB5" s="1685"/>
      <c r="CC5" s="1685"/>
    </row>
    <row r="6" spans="1:81">
      <c r="A6" s="1314" t="s">
        <v>144</v>
      </c>
      <c r="B6" s="703">
        <v>16.3</v>
      </c>
      <c r="C6" s="703">
        <v>81.7</v>
      </c>
      <c r="D6" s="703">
        <v>0</v>
      </c>
      <c r="E6" s="703">
        <v>0</v>
      </c>
      <c r="F6" s="703">
        <v>1.9</v>
      </c>
      <c r="G6" s="703">
        <v>100</v>
      </c>
      <c r="H6" s="1315" t="s">
        <v>14</v>
      </c>
      <c r="I6" s="706"/>
      <c r="J6" s="705"/>
      <c r="K6" s="705"/>
    </row>
    <row r="7" spans="1:81">
      <c r="A7" s="1316" t="s">
        <v>145</v>
      </c>
      <c r="B7" s="703">
        <v>56.9</v>
      </c>
      <c r="C7" s="703">
        <v>42.2</v>
      </c>
      <c r="D7" s="703">
        <v>0</v>
      </c>
      <c r="E7" s="703">
        <v>0.9</v>
      </c>
      <c r="F7" s="703">
        <v>0.1</v>
      </c>
      <c r="G7" s="703">
        <v>100</v>
      </c>
      <c r="H7" s="1315" t="s">
        <v>15</v>
      </c>
      <c r="I7" s="706"/>
      <c r="J7" s="705"/>
      <c r="K7" s="705"/>
    </row>
    <row r="8" spans="1:81">
      <c r="A8" s="1316" t="s">
        <v>146</v>
      </c>
      <c r="B8" s="703">
        <v>58.2</v>
      </c>
      <c r="C8" s="703">
        <v>41.5</v>
      </c>
      <c r="D8" s="703">
        <v>0.2</v>
      </c>
      <c r="E8" s="703">
        <v>0.10000000000000003</v>
      </c>
      <c r="F8" s="703">
        <v>0</v>
      </c>
      <c r="G8" s="703">
        <v>100</v>
      </c>
      <c r="H8" s="1315" t="s">
        <v>21</v>
      </c>
      <c r="I8" s="706"/>
      <c r="J8" s="705"/>
      <c r="K8" s="705"/>
    </row>
    <row r="9" spans="1:81">
      <c r="A9" s="1316" t="s">
        <v>147</v>
      </c>
      <c r="B9" s="703">
        <v>40.9</v>
      </c>
      <c r="C9" s="703">
        <v>49.8</v>
      </c>
      <c r="D9" s="703">
        <v>9</v>
      </c>
      <c r="E9" s="703">
        <v>0.19999999999999929</v>
      </c>
      <c r="F9" s="703">
        <v>0</v>
      </c>
      <c r="G9" s="703">
        <v>100</v>
      </c>
      <c r="H9" s="1315" t="s">
        <v>22</v>
      </c>
      <c r="I9" s="706"/>
      <c r="J9" s="705"/>
      <c r="K9" s="705"/>
    </row>
    <row r="10" spans="1:81">
      <c r="A10" s="1316" t="s">
        <v>148</v>
      </c>
      <c r="B10" s="703">
        <v>84.2</v>
      </c>
      <c r="C10" s="703">
        <v>14.8</v>
      </c>
      <c r="D10" s="703">
        <v>0</v>
      </c>
      <c r="E10" s="703">
        <v>0.7</v>
      </c>
      <c r="F10" s="703">
        <v>0.2</v>
      </c>
      <c r="G10" s="703">
        <v>100</v>
      </c>
      <c r="H10" s="1315" t="s">
        <v>23</v>
      </c>
      <c r="I10" s="706"/>
      <c r="J10" s="705"/>
      <c r="K10" s="705"/>
    </row>
    <row r="11" spans="1:81">
      <c r="A11" s="1316" t="s">
        <v>149</v>
      </c>
      <c r="B11" s="703">
        <v>2.1</v>
      </c>
      <c r="C11" s="703">
        <v>97.9</v>
      </c>
      <c r="D11" s="703">
        <v>0</v>
      </c>
      <c r="E11" s="703">
        <v>0</v>
      </c>
      <c r="F11" s="703">
        <v>0</v>
      </c>
      <c r="G11" s="703">
        <v>100</v>
      </c>
      <c r="H11" s="1315" t="s">
        <v>24</v>
      </c>
      <c r="I11" s="706"/>
      <c r="J11" s="705"/>
      <c r="K11" s="705"/>
    </row>
    <row r="12" spans="1:81">
      <c r="A12" s="1316" t="s">
        <v>150</v>
      </c>
      <c r="B12" s="703">
        <v>7.3</v>
      </c>
      <c r="C12" s="703">
        <v>92.7</v>
      </c>
      <c r="D12" s="703">
        <v>0</v>
      </c>
      <c r="E12" s="703">
        <v>0</v>
      </c>
      <c r="F12" s="703">
        <v>0</v>
      </c>
      <c r="G12" s="703">
        <v>100</v>
      </c>
      <c r="H12" s="1315" t="s">
        <v>16</v>
      </c>
      <c r="I12" s="706"/>
      <c r="J12" s="705"/>
      <c r="K12" s="705"/>
    </row>
    <row r="13" spans="1:81">
      <c r="A13" s="1316" t="s">
        <v>151</v>
      </c>
      <c r="B13" s="703">
        <v>41.7</v>
      </c>
      <c r="C13" s="703">
        <v>57.3</v>
      </c>
      <c r="D13" s="703">
        <v>0</v>
      </c>
      <c r="E13" s="703">
        <v>0.9</v>
      </c>
      <c r="F13" s="703">
        <v>0.1</v>
      </c>
      <c r="G13" s="703">
        <v>100</v>
      </c>
      <c r="H13" s="1315" t="s">
        <v>17</v>
      </c>
      <c r="I13" s="706"/>
      <c r="J13" s="705"/>
      <c r="K13" s="705"/>
    </row>
    <row r="14" spans="1:81">
      <c r="A14" s="1316" t="s">
        <v>152</v>
      </c>
      <c r="B14" s="703">
        <v>41.3</v>
      </c>
      <c r="C14" s="703">
        <v>54.3</v>
      </c>
      <c r="D14" s="703">
        <v>3.7</v>
      </c>
      <c r="E14" s="703">
        <v>0.59999999999999964</v>
      </c>
      <c r="F14" s="703">
        <v>0</v>
      </c>
      <c r="G14" s="703">
        <v>100</v>
      </c>
      <c r="H14" s="1315" t="s">
        <v>25</v>
      </c>
    </row>
    <row r="15" spans="1:81">
      <c r="A15" s="1316" t="s">
        <v>153</v>
      </c>
      <c r="B15" s="703">
        <v>57</v>
      </c>
      <c r="C15" s="703">
        <v>42.4</v>
      </c>
      <c r="D15" s="703">
        <v>0</v>
      </c>
      <c r="E15" s="703">
        <v>0.6</v>
      </c>
      <c r="F15" s="703">
        <v>0</v>
      </c>
      <c r="G15" s="703">
        <v>100</v>
      </c>
      <c r="H15" s="1315" t="s">
        <v>5</v>
      </c>
    </row>
    <row r="16" spans="1:81">
      <c r="A16" s="1316" t="s">
        <v>154</v>
      </c>
      <c r="B16" s="704">
        <v>48.6</v>
      </c>
      <c r="C16" s="704">
        <v>50.7</v>
      </c>
      <c r="D16" s="704">
        <v>0</v>
      </c>
      <c r="E16" s="704">
        <v>0.6</v>
      </c>
      <c r="F16" s="704">
        <v>0</v>
      </c>
      <c r="G16" s="704">
        <v>100</v>
      </c>
      <c r="H16" s="1315" t="s">
        <v>26</v>
      </c>
    </row>
    <row r="17" spans="1:8">
      <c r="A17" s="1316" t="s">
        <v>155</v>
      </c>
      <c r="B17" s="703">
        <v>68.599999999999994</v>
      </c>
      <c r="C17" s="703">
        <v>24.5</v>
      </c>
      <c r="D17" s="703">
        <v>1.5</v>
      </c>
      <c r="E17" s="703">
        <v>5.2999999999999989</v>
      </c>
      <c r="F17" s="703">
        <v>0</v>
      </c>
      <c r="G17" s="703">
        <v>100</v>
      </c>
      <c r="H17" s="1315" t="s">
        <v>27</v>
      </c>
    </row>
    <row r="18" spans="1:8">
      <c r="A18" s="1316" t="s">
        <v>156</v>
      </c>
      <c r="B18" s="703">
        <v>13.3</v>
      </c>
      <c r="C18" s="703">
        <v>86.1</v>
      </c>
      <c r="D18" s="703">
        <v>0</v>
      </c>
      <c r="E18" s="703">
        <v>0.30000000000000004</v>
      </c>
      <c r="F18" s="703">
        <v>0.2</v>
      </c>
      <c r="G18" s="703">
        <v>100</v>
      </c>
      <c r="H18" s="1315" t="s">
        <v>28</v>
      </c>
    </row>
    <row r="19" spans="1:8">
      <c r="A19" s="1316" t="s">
        <v>157</v>
      </c>
      <c r="B19" s="703">
        <v>39</v>
      </c>
      <c r="C19" s="703">
        <v>59.6</v>
      </c>
      <c r="D19" s="703">
        <v>0</v>
      </c>
      <c r="E19" s="703">
        <v>0.70000000000000007</v>
      </c>
      <c r="F19" s="703">
        <v>0.6</v>
      </c>
      <c r="G19" s="703">
        <v>100</v>
      </c>
      <c r="H19" s="1315" t="s">
        <v>6</v>
      </c>
    </row>
    <row r="20" spans="1:8">
      <c r="A20" s="1316" t="s">
        <v>158</v>
      </c>
      <c r="B20" s="703">
        <v>72.5</v>
      </c>
      <c r="C20" s="703">
        <v>24.1</v>
      </c>
      <c r="D20" s="703">
        <v>3.1</v>
      </c>
      <c r="E20" s="703">
        <v>0.10000000000000009</v>
      </c>
      <c r="F20" s="703">
        <v>0.1</v>
      </c>
      <c r="G20" s="703">
        <v>100</v>
      </c>
      <c r="H20" s="1315" t="s">
        <v>18</v>
      </c>
    </row>
    <row r="21" spans="1:8">
      <c r="A21" s="1316" t="s">
        <v>159</v>
      </c>
      <c r="B21" s="703">
        <v>28.8</v>
      </c>
      <c r="C21" s="703">
        <v>69.5</v>
      </c>
      <c r="D21" s="703">
        <v>0</v>
      </c>
      <c r="E21" s="703">
        <v>1.3000000000000003</v>
      </c>
      <c r="F21" s="703">
        <v>0.3</v>
      </c>
      <c r="G21" s="703">
        <v>100</v>
      </c>
      <c r="H21" s="1315" t="s">
        <v>29</v>
      </c>
    </row>
    <row r="22" spans="1:8">
      <c r="A22" s="1316" t="s">
        <v>160</v>
      </c>
      <c r="B22" s="703">
        <v>31</v>
      </c>
      <c r="C22" s="703">
        <v>68.900000000000006</v>
      </c>
      <c r="D22" s="703">
        <v>0</v>
      </c>
      <c r="E22" s="703">
        <v>0.1</v>
      </c>
      <c r="F22" s="703">
        <v>0</v>
      </c>
      <c r="G22" s="703">
        <v>100</v>
      </c>
      <c r="H22" s="1315" t="s">
        <v>19</v>
      </c>
    </row>
    <row r="23" spans="1:8">
      <c r="A23" s="1316" t="s">
        <v>161</v>
      </c>
      <c r="B23" s="703">
        <v>66.599999999999994</v>
      </c>
      <c r="C23" s="703">
        <v>28.2</v>
      </c>
      <c r="D23" s="703">
        <v>0</v>
      </c>
      <c r="E23" s="703">
        <v>5.0999999999999996</v>
      </c>
      <c r="F23" s="703">
        <v>0.1</v>
      </c>
      <c r="G23" s="703">
        <v>100</v>
      </c>
      <c r="H23" s="1315" t="s">
        <v>8</v>
      </c>
    </row>
    <row r="24" spans="1:8">
      <c r="A24" s="1316" t="s">
        <v>162</v>
      </c>
      <c r="B24" s="703">
        <v>45.7</v>
      </c>
      <c r="C24" s="703">
        <v>53.8</v>
      </c>
      <c r="D24" s="703">
        <v>0</v>
      </c>
      <c r="E24" s="703">
        <v>0.5</v>
      </c>
      <c r="F24" s="703">
        <v>0</v>
      </c>
      <c r="G24" s="703">
        <v>100</v>
      </c>
      <c r="H24" s="1315" t="s">
        <v>30</v>
      </c>
    </row>
    <row r="25" spans="1:8">
      <c r="A25" s="1316" t="s">
        <v>163</v>
      </c>
      <c r="B25" s="703">
        <v>74.2</v>
      </c>
      <c r="C25" s="703">
        <v>25.5</v>
      </c>
      <c r="D25" s="703">
        <v>0</v>
      </c>
      <c r="E25" s="703">
        <v>0.2</v>
      </c>
      <c r="F25" s="703">
        <v>0</v>
      </c>
      <c r="G25" s="703">
        <v>100</v>
      </c>
      <c r="H25" s="1315" t="s">
        <v>31</v>
      </c>
    </row>
    <row r="26" spans="1:8">
      <c r="A26" s="1316" t="s">
        <v>164</v>
      </c>
      <c r="B26" s="703">
        <v>76</v>
      </c>
      <c r="C26" s="703">
        <v>23.4</v>
      </c>
      <c r="D26" s="703">
        <v>0</v>
      </c>
      <c r="E26" s="703">
        <v>0.4</v>
      </c>
      <c r="F26" s="703">
        <v>0.1</v>
      </c>
      <c r="G26" s="703">
        <v>100</v>
      </c>
      <c r="H26" s="1315" t="s">
        <v>9</v>
      </c>
    </row>
    <row r="27" spans="1:8">
      <c r="A27" s="1316" t="s">
        <v>165</v>
      </c>
      <c r="B27" s="703">
        <v>20.399999999999999</v>
      </c>
      <c r="C27" s="703">
        <v>69.3</v>
      </c>
      <c r="D27" s="703">
        <v>9.8000000000000007</v>
      </c>
      <c r="E27" s="703">
        <v>0.39999999999999858</v>
      </c>
      <c r="F27" s="703">
        <v>0</v>
      </c>
      <c r="G27" s="703">
        <v>100</v>
      </c>
      <c r="H27" s="1315" t="s">
        <v>32</v>
      </c>
    </row>
    <row r="28" spans="1:8">
      <c r="A28" s="1316" t="s">
        <v>166</v>
      </c>
      <c r="B28" s="703">
        <v>69.2</v>
      </c>
      <c r="C28" s="703">
        <v>29.6</v>
      </c>
      <c r="D28" s="703">
        <v>0.5</v>
      </c>
      <c r="E28" s="703">
        <v>0.60000000000000009</v>
      </c>
      <c r="F28" s="703">
        <v>0</v>
      </c>
      <c r="G28" s="703">
        <v>100</v>
      </c>
      <c r="H28" s="1315" t="s">
        <v>33</v>
      </c>
    </row>
    <row r="29" spans="1:8">
      <c r="A29" s="1316" t="s">
        <v>167</v>
      </c>
      <c r="B29" s="703">
        <v>8.1</v>
      </c>
      <c r="C29" s="703">
        <v>91.4</v>
      </c>
      <c r="D29" s="703">
        <v>0</v>
      </c>
      <c r="E29" s="703">
        <v>0.6</v>
      </c>
      <c r="F29" s="703">
        <v>0</v>
      </c>
      <c r="G29" s="703">
        <v>100</v>
      </c>
      <c r="H29" s="1315" t="s">
        <v>20</v>
      </c>
    </row>
    <row r="30" spans="1:8">
      <c r="A30" s="1316" t="s">
        <v>168</v>
      </c>
      <c r="B30" s="703">
        <v>18.2</v>
      </c>
      <c r="C30" s="703">
        <v>80.8</v>
      </c>
      <c r="D30" s="703">
        <v>0</v>
      </c>
      <c r="E30" s="703">
        <v>0.7</v>
      </c>
      <c r="F30" s="703">
        <v>0.3</v>
      </c>
      <c r="G30" s="703">
        <v>100</v>
      </c>
      <c r="H30" s="1315" t="s">
        <v>12</v>
      </c>
    </row>
    <row r="31" spans="1:8">
      <c r="A31" s="1316" t="s">
        <v>169</v>
      </c>
      <c r="B31" s="703">
        <v>4.2</v>
      </c>
      <c r="C31" s="703">
        <v>95.4</v>
      </c>
      <c r="D31" s="703">
        <v>0</v>
      </c>
      <c r="E31" s="703">
        <v>0.2</v>
      </c>
      <c r="F31" s="703">
        <v>0.2</v>
      </c>
      <c r="G31" s="703">
        <v>100</v>
      </c>
      <c r="H31" s="1315" t="s">
        <v>39</v>
      </c>
    </row>
    <row r="32" spans="1:8">
      <c r="A32" s="1316" t="s">
        <v>170</v>
      </c>
      <c r="B32" s="703">
        <v>69.3</v>
      </c>
      <c r="C32" s="703">
        <v>30.3</v>
      </c>
      <c r="D32" s="703">
        <v>0</v>
      </c>
      <c r="E32" s="703">
        <v>0.30000000000000004</v>
      </c>
      <c r="F32" s="703">
        <v>0.1</v>
      </c>
      <c r="G32" s="703">
        <v>100</v>
      </c>
      <c r="H32" s="1315" t="s">
        <v>34</v>
      </c>
    </row>
    <row r="33" spans="1:81">
      <c r="A33" s="1316" t="s">
        <v>171</v>
      </c>
      <c r="B33" s="703">
        <v>46.7</v>
      </c>
      <c r="C33" s="703">
        <v>43.9</v>
      </c>
      <c r="D33" s="703">
        <v>9.1</v>
      </c>
      <c r="E33" s="703">
        <v>9.9999999999999645E-2</v>
      </c>
      <c r="F33" s="703">
        <v>0.1</v>
      </c>
      <c r="G33" s="703">
        <v>100</v>
      </c>
      <c r="H33" s="1315" t="s">
        <v>35</v>
      </c>
    </row>
    <row r="34" spans="1:81">
      <c r="A34" s="1316" t="s">
        <v>172</v>
      </c>
      <c r="B34" s="703">
        <v>29.5</v>
      </c>
      <c r="C34" s="703">
        <v>68.3</v>
      </c>
      <c r="D34" s="703">
        <v>0.2</v>
      </c>
      <c r="E34" s="703">
        <v>1.2000000000000002</v>
      </c>
      <c r="F34" s="703">
        <v>0.7</v>
      </c>
      <c r="G34" s="703">
        <v>100</v>
      </c>
      <c r="H34" s="1315" t="s">
        <v>36</v>
      </c>
    </row>
    <row r="35" spans="1:81">
      <c r="A35" s="1316" t="s">
        <v>173</v>
      </c>
      <c r="B35" s="703">
        <v>76</v>
      </c>
      <c r="C35" s="703">
        <v>21.4</v>
      </c>
      <c r="D35" s="703">
        <v>1.2</v>
      </c>
      <c r="E35" s="703">
        <v>1.4000000000000001</v>
      </c>
      <c r="F35" s="703">
        <v>0</v>
      </c>
      <c r="G35" s="703">
        <v>100</v>
      </c>
      <c r="H35" s="1315" t="s">
        <v>37</v>
      </c>
    </row>
    <row r="36" spans="1:81" ht="33.75" customHeight="1">
      <c r="A36" s="1317" t="s">
        <v>1418</v>
      </c>
      <c r="B36" s="703">
        <v>17.8</v>
      </c>
      <c r="C36" s="703">
        <v>79.400000000000006</v>
      </c>
      <c r="D36" s="703">
        <v>0</v>
      </c>
      <c r="E36" s="703">
        <v>2.8</v>
      </c>
      <c r="F36" s="703">
        <v>0</v>
      </c>
      <c r="G36" s="703">
        <v>100</v>
      </c>
      <c r="H36" s="1318" t="s">
        <v>496</v>
      </c>
    </row>
    <row r="37" spans="1:81">
      <c r="A37" s="1316" t="s">
        <v>175</v>
      </c>
      <c r="B37" s="703">
        <v>0</v>
      </c>
      <c r="C37" s="703">
        <v>98.2</v>
      </c>
      <c r="D37" s="703">
        <v>0</v>
      </c>
      <c r="E37" s="703">
        <v>1.8</v>
      </c>
      <c r="F37" s="703">
        <v>0</v>
      </c>
      <c r="G37" s="704">
        <v>100</v>
      </c>
      <c r="H37" s="1315" t="s">
        <v>38</v>
      </c>
    </row>
    <row r="38" spans="1:81" ht="33" customHeight="1">
      <c r="A38" s="1319" t="s">
        <v>2599</v>
      </c>
      <c r="B38" s="703">
        <v>28.7</v>
      </c>
      <c r="C38" s="703">
        <v>71</v>
      </c>
      <c r="D38" s="703">
        <v>0</v>
      </c>
      <c r="E38" s="703">
        <v>0.30000000000000004</v>
      </c>
      <c r="F38" s="703">
        <v>0</v>
      </c>
      <c r="G38" s="703">
        <v>100</v>
      </c>
      <c r="H38" s="1320" t="s">
        <v>2598</v>
      </c>
    </row>
    <row r="39" spans="1:81">
      <c r="A39" s="1321" t="s">
        <v>654</v>
      </c>
      <c r="B39" s="703">
        <v>13.5</v>
      </c>
      <c r="C39" s="703">
        <v>86.5</v>
      </c>
      <c r="D39" s="703">
        <v>0</v>
      </c>
      <c r="E39" s="703">
        <v>0</v>
      </c>
      <c r="F39" s="703">
        <v>0</v>
      </c>
      <c r="G39" s="703">
        <v>100</v>
      </c>
      <c r="H39" s="1322" t="s">
        <v>2597</v>
      </c>
    </row>
    <row r="40" spans="1:81">
      <c r="A40" s="1316" t="s">
        <v>178</v>
      </c>
      <c r="B40" s="703">
        <v>32.5</v>
      </c>
      <c r="C40" s="703">
        <v>53.1</v>
      </c>
      <c r="D40" s="703">
        <v>0</v>
      </c>
      <c r="E40" s="703">
        <v>14.200000000000001</v>
      </c>
      <c r="F40" s="703">
        <v>0.2</v>
      </c>
      <c r="G40" s="703">
        <v>100</v>
      </c>
      <c r="H40" s="1315" t="s">
        <v>7</v>
      </c>
    </row>
    <row r="41" spans="1:81">
      <c r="A41" s="1316" t="s">
        <v>179</v>
      </c>
      <c r="B41" s="703">
        <v>5.7</v>
      </c>
      <c r="C41" s="703">
        <v>94.2</v>
      </c>
      <c r="D41" s="703">
        <v>0</v>
      </c>
      <c r="E41" s="703">
        <v>0.2</v>
      </c>
      <c r="F41" s="703">
        <v>0</v>
      </c>
      <c r="G41" s="703">
        <v>100</v>
      </c>
      <c r="H41" s="1315" t="s">
        <v>10</v>
      </c>
    </row>
    <row r="42" spans="1:81">
      <c r="A42" s="1323" t="s">
        <v>1393</v>
      </c>
      <c r="B42" s="703">
        <v>46.7</v>
      </c>
      <c r="C42" s="703">
        <v>49.4</v>
      </c>
      <c r="D42" s="703">
        <v>3</v>
      </c>
      <c r="E42" s="703">
        <v>0.70000000000000018</v>
      </c>
      <c r="F42" s="703">
        <v>0.2</v>
      </c>
      <c r="G42" s="702">
        <v>100</v>
      </c>
      <c r="H42" s="1324" t="s">
        <v>868</v>
      </c>
    </row>
    <row r="43" spans="1:81" ht="7.5" customHeight="1">
      <c r="A43" s="1325"/>
      <c r="B43" s="1326"/>
      <c r="C43" s="1326"/>
      <c r="D43" s="1326"/>
      <c r="E43" s="1326"/>
      <c r="F43" s="1326"/>
      <c r="G43" s="1326"/>
      <c r="H43" s="1327"/>
    </row>
    <row r="44" spans="1:81" ht="32.25" customHeight="1">
      <c r="A44" s="2137" t="s">
        <v>1392</v>
      </c>
      <c r="B44" s="2138"/>
      <c r="C44" s="2138"/>
      <c r="D44" s="2138"/>
      <c r="E44" s="2138"/>
      <c r="F44" s="2138"/>
      <c r="G44" s="2138"/>
      <c r="H44" s="2139"/>
    </row>
    <row r="45" spans="1:81" s="701" customFormat="1" ht="18.75" customHeight="1">
      <c r="A45" s="2140" t="s">
        <v>2596</v>
      </c>
      <c r="B45" s="2141"/>
      <c r="C45" s="2141"/>
      <c r="D45" s="2141"/>
      <c r="E45" s="2141"/>
      <c r="F45" s="2141"/>
      <c r="G45" s="2141"/>
      <c r="H45" s="2142"/>
      <c r="L45" s="1685"/>
      <c r="M45" s="1685"/>
      <c r="N45" s="1685"/>
      <c r="O45" s="1685"/>
      <c r="P45" s="1685"/>
      <c r="Q45" s="1685"/>
      <c r="R45" s="1685"/>
      <c r="S45" s="1685"/>
      <c r="T45" s="1685"/>
      <c r="U45" s="1685"/>
      <c r="V45" s="1685"/>
      <c r="W45" s="1685"/>
      <c r="X45" s="1685"/>
      <c r="Y45" s="1685"/>
      <c r="Z45" s="1685"/>
      <c r="AA45" s="1685"/>
      <c r="AB45" s="1685"/>
      <c r="AC45" s="1685"/>
      <c r="AD45" s="1685"/>
      <c r="AE45" s="1685"/>
      <c r="AF45" s="1685"/>
      <c r="AG45" s="1685"/>
      <c r="AH45" s="1685"/>
      <c r="AI45" s="1685"/>
      <c r="AJ45" s="1685"/>
      <c r="AK45" s="1685"/>
      <c r="AL45" s="1685"/>
      <c r="AM45" s="1685"/>
      <c r="AN45" s="1685"/>
      <c r="AO45" s="1685"/>
      <c r="AP45" s="1685"/>
      <c r="AQ45" s="1685"/>
      <c r="AR45" s="1685"/>
      <c r="AS45" s="1685"/>
      <c r="AT45" s="1685"/>
      <c r="AU45" s="1685"/>
      <c r="AV45" s="1685"/>
      <c r="AW45" s="1685"/>
      <c r="AX45" s="1685"/>
      <c r="AY45" s="1685"/>
      <c r="AZ45" s="1685"/>
      <c r="BA45" s="1685"/>
      <c r="BB45" s="1685"/>
      <c r="BC45" s="1685"/>
      <c r="BD45" s="1685"/>
      <c r="BE45" s="1685"/>
      <c r="BF45" s="1685"/>
      <c r="BG45" s="1685"/>
      <c r="BH45" s="1685"/>
      <c r="BI45" s="1685"/>
      <c r="BJ45" s="1685"/>
      <c r="BK45" s="1685"/>
      <c r="BL45" s="1685"/>
      <c r="BM45" s="1685"/>
      <c r="BN45" s="1685"/>
      <c r="BO45" s="1685"/>
      <c r="BP45" s="1685"/>
      <c r="BQ45" s="1685"/>
      <c r="BR45" s="1685"/>
      <c r="BS45" s="1685"/>
      <c r="BT45" s="1685"/>
      <c r="BU45" s="1685"/>
      <c r="BV45" s="1685"/>
      <c r="BW45" s="1685"/>
      <c r="BX45" s="1685"/>
      <c r="BY45" s="1685"/>
      <c r="BZ45" s="1685"/>
      <c r="CA45" s="1685"/>
      <c r="CB45" s="1685"/>
      <c r="CC45" s="1685"/>
    </row>
    <row r="46" spans="1:81" ht="15" customHeight="1">
      <c r="A46" s="1328" t="s">
        <v>2595</v>
      </c>
      <c r="B46" s="714"/>
      <c r="C46" s="714"/>
      <c r="D46" s="714"/>
      <c r="E46" s="714"/>
      <c r="F46" s="714"/>
      <c r="G46" s="714"/>
      <c r="H46" s="1329"/>
    </row>
    <row r="47" spans="1:81" ht="15.75" thickBot="1">
      <c r="A47" s="1330" t="s">
        <v>2594</v>
      </c>
      <c r="B47" s="1331"/>
      <c r="C47" s="1331"/>
      <c r="D47" s="1331"/>
      <c r="E47" s="1331"/>
      <c r="F47" s="1331"/>
      <c r="G47" s="1331"/>
      <c r="H47" s="1332"/>
    </row>
    <row r="48" spans="1:81" ht="15.75" thickTop="1">
      <c r="A48" s="713"/>
      <c r="B48" s="713"/>
      <c r="C48" s="713"/>
      <c r="D48" s="713"/>
      <c r="E48" s="713"/>
      <c r="F48" s="713"/>
      <c r="G48" s="713"/>
      <c r="H48" s="713"/>
    </row>
    <row r="49" spans="1:8">
      <c r="A49" s="713"/>
      <c r="B49" s="713"/>
      <c r="C49" s="713"/>
      <c r="D49" s="713"/>
      <c r="E49" s="713"/>
      <c r="F49" s="713"/>
      <c r="G49" s="713"/>
      <c r="H49" s="713"/>
    </row>
    <row r="50" spans="1:8">
      <c r="A50" s="713"/>
      <c r="B50" s="713"/>
      <c r="C50" s="713"/>
      <c r="D50" s="713"/>
      <c r="E50" s="713"/>
      <c r="F50" s="713"/>
      <c r="G50" s="713"/>
      <c r="H50" s="713"/>
    </row>
    <row r="51" spans="1:8">
      <c r="A51" s="713"/>
      <c r="B51" s="713"/>
      <c r="C51" s="713"/>
      <c r="D51" s="713"/>
      <c r="E51" s="713"/>
      <c r="F51" s="713"/>
      <c r="G51" s="713"/>
      <c r="H51" s="713"/>
    </row>
    <row r="52" spans="1:8">
      <c r="A52" s="713"/>
      <c r="B52" s="713"/>
      <c r="C52" s="713"/>
      <c r="D52" s="713"/>
      <c r="E52" s="713"/>
      <c r="F52" s="713"/>
      <c r="G52" s="713"/>
      <c r="H52" s="713"/>
    </row>
    <row r="53" spans="1:8">
      <c r="A53" s="713"/>
      <c r="B53" s="713"/>
      <c r="C53" s="713"/>
      <c r="D53" s="713"/>
      <c r="E53" s="713"/>
      <c r="F53" s="713"/>
      <c r="G53" s="713"/>
      <c r="H53" s="713"/>
    </row>
    <row r="54" spans="1:8">
      <c r="A54" s="713"/>
      <c r="B54" s="713"/>
      <c r="C54" s="713"/>
      <c r="D54" s="713"/>
      <c r="E54" s="713"/>
      <c r="F54" s="713"/>
      <c r="G54" s="713"/>
      <c r="H54" s="713"/>
    </row>
    <row r="55" spans="1:8">
      <c r="A55" s="713"/>
      <c r="B55" s="713"/>
      <c r="C55" s="713"/>
      <c r="D55" s="713"/>
      <c r="E55" s="713"/>
      <c r="F55" s="713"/>
      <c r="G55" s="713"/>
      <c r="H55" s="713"/>
    </row>
    <row r="56" spans="1:8">
      <c r="A56" s="713"/>
      <c r="B56" s="713"/>
      <c r="C56" s="713"/>
      <c r="D56" s="713"/>
      <c r="E56" s="713"/>
      <c r="F56" s="713"/>
      <c r="G56" s="713"/>
      <c r="H56" s="713"/>
    </row>
    <row r="57" spans="1:8">
      <c r="A57" s="713"/>
      <c r="B57" s="713"/>
      <c r="C57" s="713"/>
      <c r="D57" s="713"/>
      <c r="E57" s="713"/>
      <c r="F57" s="713"/>
      <c r="G57" s="713"/>
      <c r="H57" s="713"/>
    </row>
    <row r="58" spans="1:8">
      <c r="A58" s="713"/>
      <c r="B58" s="713"/>
      <c r="C58" s="713"/>
      <c r="D58" s="713"/>
      <c r="E58" s="713"/>
      <c r="F58" s="713"/>
      <c r="G58" s="713"/>
      <c r="H58" s="713"/>
    </row>
    <row r="59" spans="1:8">
      <c r="A59" s="713"/>
      <c r="B59" s="713"/>
      <c r="C59" s="713"/>
      <c r="D59" s="713"/>
      <c r="E59" s="713"/>
      <c r="F59" s="713"/>
      <c r="G59" s="713"/>
      <c r="H59" s="713"/>
    </row>
    <row r="60" spans="1:8">
      <c r="A60" s="713"/>
      <c r="B60" s="713"/>
      <c r="C60" s="713"/>
      <c r="D60" s="713"/>
      <c r="E60" s="713"/>
      <c r="F60" s="713"/>
      <c r="G60" s="713"/>
      <c r="H60" s="713"/>
    </row>
    <row r="61" spans="1:8">
      <c r="A61" s="713"/>
      <c r="B61" s="713"/>
      <c r="C61" s="713"/>
      <c r="D61" s="713"/>
      <c r="E61" s="713"/>
      <c r="F61" s="713"/>
      <c r="G61" s="713"/>
      <c r="H61" s="713"/>
    </row>
    <row r="62" spans="1:8">
      <c r="A62" s="713"/>
      <c r="B62" s="713"/>
      <c r="C62" s="713"/>
      <c r="D62" s="713"/>
      <c r="E62" s="713"/>
      <c r="F62" s="713"/>
      <c r="G62" s="713"/>
      <c r="H62" s="713"/>
    </row>
    <row r="63" spans="1:8">
      <c r="A63" s="713"/>
      <c r="B63" s="713"/>
      <c r="C63" s="713"/>
      <c r="D63" s="713"/>
      <c r="E63" s="713"/>
      <c r="F63" s="713"/>
      <c r="G63" s="713"/>
      <c r="H63" s="713"/>
    </row>
    <row r="64" spans="1:8">
      <c r="A64" s="713"/>
      <c r="B64" s="713"/>
      <c r="C64" s="713"/>
      <c r="D64" s="713"/>
      <c r="E64" s="713"/>
      <c r="F64" s="713"/>
      <c r="G64" s="713"/>
      <c r="H64" s="713"/>
    </row>
    <row r="65" spans="1:8">
      <c r="A65" s="713"/>
      <c r="B65" s="713"/>
      <c r="C65" s="713"/>
      <c r="D65" s="713"/>
      <c r="E65" s="713"/>
      <c r="F65" s="713"/>
      <c r="G65" s="713"/>
      <c r="H65" s="713"/>
    </row>
    <row r="66" spans="1:8">
      <c r="A66" s="713"/>
      <c r="B66" s="713"/>
      <c r="C66" s="713"/>
      <c r="D66" s="713"/>
      <c r="E66" s="713"/>
      <c r="F66" s="713"/>
      <c r="G66" s="713"/>
      <c r="H66" s="713"/>
    </row>
    <row r="67" spans="1:8">
      <c r="A67" s="713"/>
      <c r="B67" s="713"/>
      <c r="C67" s="713"/>
      <c r="D67" s="713"/>
      <c r="E67" s="713"/>
      <c r="F67" s="713"/>
      <c r="G67" s="713"/>
      <c r="H67" s="713"/>
    </row>
    <row r="68" spans="1:8">
      <c r="A68" s="713"/>
      <c r="B68" s="713"/>
      <c r="C68" s="713"/>
      <c r="D68" s="713"/>
      <c r="E68" s="713"/>
      <c r="F68" s="713"/>
      <c r="G68" s="713"/>
      <c r="H68" s="713"/>
    </row>
    <row r="69" spans="1:8">
      <c r="A69" s="713"/>
      <c r="B69" s="713"/>
      <c r="C69" s="713"/>
      <c r="D69" s="713"/>
      <c r="E69" s="713"/>
      <c r="F69" s="713"/>
      <c r="G69" s="713"/>
      <c r="H69" s="713"/>
    </row>
    <row r="70" spans="1:8">
      <c r="A70" s="713"/>
      <c r="B70" s="713"/>
      <c r="C70" s="713"/>
      <c r="D70" s="713"/>
      <c r="E70" s="713"/>
      <c r="F70" s="713"/>
      <c r="G70" s="713"/>
      <c r="H70" s="713"/>
    </row>
    <row r="71" spans="1:8">
      <c r="A71" s="713"/>
      <c r="B71" s="713"/>
      <c r="C71" s="713"/>
      <c r="D71" s="713"/>
      <c r="E71" s="713"/>
      <c r="F71" s="713"/>
      <c r="G71" s="713"/>
      <c r="H71" s="713"/>
    </row>
    <row r="72" spans="1:8">
      <c r="A72" s="713"/>
      <c r="B72" s="713"/>
      <c r="C72" s="713"/>
      <c r="D72" s="713"/>
      <c r="E72" s="713"/>
      <c r="F72" s="713"/>
      <c r="G72" s="713"/>
      <c r="H72" s="713"/>
    </row>
    <row r="73" spans="1:8">
      <c r="A73" s="713"/>
      <c r="B73" s="713"/>
      <c r="C73" s="713"/>
      <c r="D73" s="713"/>
      <c r="E73" s="713"/>
      <c r="F73" s="713"/>
      <c r="G73" s="713"/>
      <c r="H73" s="713"/>
    </row>
    <row r="74" spans="1:8">
      <c r="A74" s="713"/>
      <c r="B74" s="713"/>
      <c r="C74" s="713"/>
      <c r="D74" s="713"/>
      <c r="E74" s="713"/>
      <c r="F74" s="713"/>
      <c r="G74" s="713"/>
      <c r="H74" s="713"/>
    </row>
    <row r="75" spans="1:8">
      <c r="A75" s="713"/>
      <c r="B75" s="713"/>
      <c r="C75" s="713"/>
      <c r="D75" s="713"/>
      <c r="E75" s="713"/>
      <c r="F75" s="713"/>
      <c r="G75" s="713"/>
      <c r="H75" s="713"/>
    </row>
    <row r="76" spans="1:8">
      <c r="A76" s="713"/>
      <c r="B76" s="713"/>
      <c r="C76" s="713"/>
      <c r="D76" s="713"/>
      <c r="E76" s="713"/>
      <c r="F76" s="713"/>
      <c r="G76" s="713"/>
      <c r="H76" s="713"/>
    </row>
    <row r="77" spans="1:8">
      <c r="A77" s="713"/>
      <c r="B77" s="713"/>
      <c r="C77" s="713"/>
      <c r="D77" s="713"/>
      <c r="E77" s="713"/>
      <c r="F77" s="713"/>
      <c r="G77" s="713"/>
      <c r="H77" s="713"/>
    </row>
    <row r="78" spans="1:8">
      <c r="A78" s="713"/>
      <c r="B78" s="713"/>
      <c r="C78" s="713"/>
      <c r="D78" s="713"/>
      <c r="E78" s="713"/>
      <c r="F78" s="713"/>
      <c r="G78" s="713"/>
      <c r="H78" s="713"/>
    </row>
    <row r="79" spans="1:8">
      <c r="A79" s="713"/>
      <c r="B79" s="713"/>
      <c r="C79" s="713"/>
      <c r="D79" s="713"/>
      <c r="E79" s="713"/>
      <c r="F79" s="713"/>
      <c r="G79" s="713"/>
      <c r="H79" s="713"/>
    </row>
    <row r="80" spans="1:8">
      <c r="A80" s="713"/>
      <c r="B80" s="713"/>
      <c r="C80" s="713"/>
      <c r="D80" s="713"/>
      <c r="E80" s="713"/>
      <c r="F80" s="713"/>
      <c r="G80" s="713"/>
      <c r="H80" s="713"/>
    </row>
    <row r="81" spans="1:8">
      <c r="A81" s="713"/>
      <c r="B81" s="713"/>
      <c r="C81" s="713"/>
      <c r="D81" s="713"/>
      <c r="E81" s="713"/>
      <c r="F81" s="713"/>
      <c r="G81" s="713"/>
      <c r="H81" s="713"/>
    </row>
    <row r="82" spans="1:8">
      <c r="A82" s="713"/>
      <c r="B82" s="713"/>
      <c r="C82" s="713"/>
      <c r="D82" s="713"/>
      <c r="E82" s="713"/>
      <c r="F82" s="713"/>
      <c r="G82" s="713"/>
      <c r="H82" s="713"/>
    </row>
    <row r="83" spans="1:8">
      <c r="A83" s="713"/>
      <c r="B83" s="713"/>
      <c r="C83" s="713"/>
      <c r="D83" s="713"/>
      <c r="E83" s="713"/>
      <c r="F83" s="713"/>
      <c r="G83" s="713"/>
      <c r="H83" s="713"/>
    </row>
    <row r="84" spans="1:8">
      <c r="A84" s="713"/>
      <c r="B84" s="713"/>
      <c r="C84" s="713"/>
      <c r="D84" s="713"/>
      <c r="E84" s="713"/>
      <c r="F84" s="713"/>
      <c r="G84" s="713"/>
      <c r="H84" s="713"/>
    </row>
    <row r="85" spans="1:8">
      <c r="A85" s="713"/>
      <c r="B85" s="713"/>
      <c r="C85" s="713"/>
      <c r="D85" s="713"/>
      <c r="E85" s="713"/>
      <c r="F85" s="713"/>
      <c r="G85" s="713"/>
      <c r="H85" s="713"/>
    </row>
    <row r="86" spans="1:8">
      <c r="A86" s="713"/>
      <c r="B86" s="713"/>
      <c r="C86" s="713"/>
      <c r="D86" s="713"/>
      <c r="E86" s="713"/>
      <c r="F86" s="713"/>
      <c r="G86" s="713"/>
      <c r="H86" s="713"/>
    </row>
    <row r="87" spans="1:8">
      <c r="A87" s="713"/>
      <c r="B87" s="713"/>
      <c r="C87" s="713"/>
      <c r="D87" s="713"/>
      <c r="E87" s="713"/>
      <c r="F87" s="713"/>
      <c r="G87" s="713"/>
      <c r="H87" s="713"/>
    </row>
    <row r="88" spans="1:8">
      <c r="A88" s="713"/>
      <c r="B88" s="713"/>
      <c r="C88" s="713"/>
      <c r="D88" s="713"/>
      <c r="E88" s="713"/>
      <c r="F88" s="713"/>
      <c r="G88" s="713"/>
      <c r="H88" s="713"/>
    </row>
    <row r="89" spans="1:8">
      <c r="A89" s="713"/>
      <c r="B89" s="713"/>
      <c r="C89" s="713"/>
      <c r="D89" s="713"/>
      <c r="E89" s="713"/>
      <c r="F89" s="713"/>
      <c r="G89" s="713"/>
      <c r="H89" s="713"/>
    </row>
    <row r="90" spans="1:8">
      <c r="A90" s="713"/>
      <c r="B90" s="713"/>
      <c r="C90" s="713"/>
      <c r="D90" s="713"/>
      <c r="E90" s="713"/>
      <c r="F90" s="713"/>
      <c r="G90" s="713"/>
      <c r="H90" s="713"/>
    </row>
    <row r="91" spans="1:8">
      <c r="A91" s="713"/>
      <c r="B91" s="713"/>
      <c r="C91" s="713"/>
      <c r="D91" s="713"/>
      <c r="E91" s="713"/>
      <c r="F91" s="713"/>
      <c r="G91" s="713"/>
      <c r="H91" s="713"/>
    </row>
    <row r="92" spans="1:8">
      <c r="A92" s="713"/>
      <c r="B92" s="713"/>
      <c r="C92" s="713"/>
      <c r="D92" s="713"/>
      <c r="E92" s="713"/>
      <c r="F92" s="713"/>
      <c r="G92" s="713"/>
      <c r="H92" s="713"/>
    </row>
    <row r="93" spans="1:8">
      <c r="A93" s="713"/>
      <c r="B93" s="713"/>
      <c r="C93" s="713"/>
      <c r="D93" s="713"/>
      <c r="E93" s="713"/>
      <c r="F93" s="713"/>
      <c r="G93" s="713"/>
      <c r="H93" s="713"/>
    </row>
    <row r="94" spans="1:8">
      <c r="A94" s="713"/>
      <c r="B94" s="713"/>
      <c r="C94" s="713"/>
      <c r="D94" s="713"/>
      <c r="E94" s="713"/>
      <c r="F94" s="713"/>
      <c r="G94" s="713"/>
      <c r="H94" s="713"/>
    </row>
    <row r="95" spans="1:8">
      <c r="A95" s="713"/>
      <c r="B95" s="713"/>
      <c r="C95" s="713"/>
      <c r="D95" s="713"/>
      <c r="E95" s="713"/>
      <c r="F95" s="713"/>
      <c r="G95" s="713"/>
      <c r="H95" s="713"/>
    </row>
    <row r="96" spans="1:8">
      <c r="A96" s="713"/>
      <c r="B96" s="713"/>
      <c r="C96" s="713"/>
      <c r="D96" s="713"/>
      <c r="E96" s="713"/>
      <c r="F96" s="713"/>
      <c r="G96" s="713"/>
      <c r="H96" s="713"/>
    </row>
    <row r="97" spans="1:8">
      <c r="A97" s="1102" t="s">
        <v>2593</v>
      </c>
      <c r="B97" s="713"/>
      <c r="C97" s="713"/>
      <c r="D97" s="713"/>
      <c r="E97" s="713"/>
      <c r="F97" s="713"/>
      <c r="G97" s="713"/>
      <c r="H97" s="713"/>
    </row>
  </sheetData>
  <mergeCells count="10">
    <mergeCell ref="A3:H3"/>
    <mergeCell ref="A44:H44"/>
    <mergeCell ref="A45:H45"/>
    <mergeCell ref="A2:H2"/>
    <mergeCell ref="A1:H1"/>
    <mergeCell ref="H4:H5"/>
    <mergeCell ref="B4:E4"/>
    <mergeCell ref="F4:F5"/>
    <mergeCell ref="G4:G5"/>
    <mergeCell ref="A4:A5"/>
  </mergeCells>
  <conditionalFormatting sqref="A6:A38 A42 BX6:XFD42 B6:K42">
    <cfRule type="expression" dxfId="71" priority="2">
      <formula>MOD(ROW(),3)=1</formula>
    </cfRule>
  </conditionalFormatting>
  <conditionalFormatting sqref="A40:A41">
    <cfRule type="expression" dxfId="70" priority="1">
      <formula>MOD(ROW(),3)=1</formula>
    </cfRule>
  </conditionalFormatting>
  <printOptions horizontalCentered="1" verticalCentered="1"/>
  <pageMargins left="0.35433070866141736" right="0.70866141732283472" top="0.51181102362204722" bottom="0.19685039370078741" header="0.31496062992125984" footer="0.31496062992125984"/>
  <pageSetup paperSize="9" scale="80" orientation="portrait" r:id="rId1"/>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253FA-8E25-470F-8EEB-F7D723EFF52B}">
  <dimension ref="A1:K103"/>
  <sheetViews>
    <sheetView view="pageBreakPreview" zoomScale="110" zoomScaleSheetLayoutView="110" workbookViewId="0">
      <selection activeCell="O1" sqref="O1:Q1048576"/>
    </sheetView>
  </sheetViews>
  <sheetFormatPr defaultColWidth="9.140625" defaultRowHeight="15"/>
  <cols>
    <col min="1" max="1" width="20" style="1321" customWidth="1"/>
    <col min="2" max="2" width="12.7109375" style="713" customWidth="1"/>
    <col min="3" max="3" width="10.28515625" style="713" customWidth="1"/>
    <col min="4" max="4" width="8.42578125" style="713" customWidth="1"/>
    <col min="5" max="5" width="10.5703125" style="713" customWidth="1"/>
    <col min="6" max="6" width="12.42578125" style="713" customWidth="1"/>
    <col min="7" max="7" width="8.28515625" style="713" customWidth="1"/>
    <col min="8" max="8" width="24" style="713" customWidth="1"/>
    <col min="9" max="12" width="0" style="713" hidden="1" customWidth="1"/>
    <col min="13" max="16384" width="9.140625" style="713"/>
  </cols>
  <sheetData>
    <row r="1" spans="1:11" s="1656" customFormat="1" ht="40.5" customHeight="1" thickTop="1">
      <c r="A1" s="2146" t="s">
        <v>2758</v>
      </c>
      <c r="B1" s="2147"/>
      <c r="C1" s="2147"/>
      <c r="D1" s="2147"/>
      <c r="E1" s="2147"/>
      <c r="F1" s="2147"/>
      <c r="G1" s="2147"/>
      <c r="H1" s="2148"/>
    </row>
    <row r="2" spans="1:11" s="714" customFormat="1">
      <c r="A2" s="2160" t="s">
        <v>1405</v>
      </c>
      <c r="B2" s="2161"/>
      <c r="C2" s="2161"/>
      <c r="D2" s="2161"/>
      <c r="E2" s="2161"/>
      <c r="F2" s="2161"/>
      <c r="G2" s="2161"/>
      <c r="H2" s="2162"/>
    </row>
    <row r="3" spans="1:11" s="716" customFormat="1" ht="30.75" customHeight="1">
      <c r="A3" s="2151" t="s">
        <v>1341</v>
      </c>
      <c r="B3" s="2150" t="s">
        <v>1400</v>
      </c>
      <c r="C3" s="2150"/>
      <c r="D3" s="2150"/>
      <c r="E3" s="2150"/>
      <c r="F3" s="2150" t="s">
        <v>1399</v>
      </c>
      <c r="G3" s="2150" t="s">
        <v>1398</v>
      </c>
      <c r="H3" s="2151" t="s">
        <v>1339</v>
      </c>
      <c r="I3" s="1657"/>
      <c r="J3" s="1657"/>
      <c r="K3" s="1657"/>
    </row>
    <row r="4" spans="1:11" s="716" customFormat="1" ht="108.75" customHeight="1">
      <c r="A4" s="2151"/>
      <c r="B4" s="1548" t="s">
        <v>1404</v>
      </c>
      <c r="C4" s="1548" t="s">
        <v>1396</v>
      </c>
      <c r="D4" s="1548" t="s">
        <v>1395</v>
      </c>
      <c r="E4" s="1548" t="s">
        <v>1394</v>
      </c>
      <c r="F4" s="2150"/>
      <c r="G4" s="2150"/>
      <c r="H4" s="2151"/>
      <c r="I4" s="1658"/>
      <c r="J4" s="1658"/>
      <c r="K4" s="1658"/>
    </row>
    <row r="5" spans="1:11">
      <c r="A5" s="1767" t="s">
        <v>144</v>
      </c>
      <c r="B5" s="703">
        <v>0.6</v>
      </c>
      <c r="C5" s="703">
        <v>96.1</v>
      </c>
      <c r="D5" s="703">
        <v>0</v>
      </c>
      <c r="E5" s="703">
        <v>0.5</v>
      </c>
      <c r="F5" s="703">
        <v>2.8</v>
      </c>
      <c r="G5" s="703">
        <v>100</v>
      </c>
      <c r="H5" s="703" t="s">
        <v>14</v>
      </c>
      <c r="I5" s="1659"/>
      <c r="J5" s="1659"/>
      <c r="K5" s="1659"/>
    </row>
    <row r="6" spans="1:11">
      <c r="A6" s="1768" t="s">
        <v>145</v>
      </c>
      <c r="B6" s="703">
        <v>6.1</v>
      </c>
      <c r="C6" s="703">
        <v>93.7</v>
      </c>
      <c r="D6" s="703">
        <v>0</v>
      </c>
      <c r="E6" s="703">
        <v>0</v>
      </c>
      <c r="F6" s="703">
        <v>0.1</v>
      </c>
      <c r="G6" s="703">
        <v>100</v>
      </c>
      <c r="H6" s="703" t="s">
        <v>15</v>
      </c>
      <c r="I6" s="1659"/>
      <c r="J6" s="1659"/>
      <c r="K6" s="1659"/>
    </row>
    <row r="7" spans="1:11">
      <c r="A7" s="1768" t="s">
        <v>146</v>
      </c>
      <c r="B7" s="703">
        <v>9.6999999999999993</v>
      </c>
      <c r="C7" s="703">
        <v>86.2</v>
      </c>
      <c r="D7" s="703">
        <v>0.2</v>
      </c>
      <c r="E7" s="703">
        <v>3.4</v>
      </c>
      <c r="F7" s="703">
        <v>0.5</v>
      </c>
      <c r="G7" s="703">
        <v>100</v>
      </c>
      <c r="H7" s="703" t="s">
        <v>21</v>
      </c>
      <c r="I7" s="1659"/>
      <c r="J7" s="1659"/>
      <c r="K7" s="1659"/>
    </row>
    <row r="8" spans="1:11">
      <c r="A8" s="1768" t="s">
        <v>147</v>
      </c>
      <c r="B8" s="703">
        <v>7.1</v>
      </c>
      <c r="C8" s="703">
        <v>89.8</v>
      </c>
      <c r="D8" s="703">
        <v>2.4</v>
      </c>
      <c r="E8" s="703">
        <v>0.60000000000000053</v>
      </c>
      <c r="F8" s="703">
        <v>0.1</v>
      </c>
      <c r="G8" s="703">
        <v>100</v>
      </c>
      <c r="H8" s="703" t="s">
        <v>22</v>
      </c>
      <c r="I8" s="1659"/>
      <c r="J8" s="1659"/>
      <c r="K8" s="1659"/>
    </row>
    <row r="9" spans="1:11">
      <c r="A9" s="1768" t="s">
        <v>148</v>
      </c>
      <c r="B9" s="703">
        <v>12.5</v>
      </c>
      <c r="C9" s="703">
        <v>81.099999999999994</v>
      </c>
      <c r="D9" s="703">
        <v>0.7</v>
      </c>
      <c r="E9" s="703">
        <v>5.2999999999999989</v>
      </c>
      <c r="F9" s="703">
        <v>0.4</v>
      </c>
      <c r="G9" s="703">
        <v>100</v>
      </c>
      <c r="H9" s="703" t="s">
        <v>23</v>
      </c>
      <c r="I9" s="1659"/>
      <c r="J9" s="1659"/>
      <c r="K9" s="1659"/>
    </row>
    <row r="10" spans="1:11">
      <c r="A10" s="1768" t="s">
        <v>149</v>
      </c>
      <c r="B10" s="703">
        <v>0.2</v>
      </c>
      <c r="C10" s="703">
        <v>94.6</v>
      </c>
      <c r="D10" s="703">
        <v>0</v>
      </c>
      <c r="E10" s="703">
        <v>3.8000000000000003</v>
      </c>
      <c r="F10" s="703">
        <v>1.4</v>
      </c>
      <c r="G10" s="703">
        <v>100</v>
      </c>
      <c r="H10" s="703" t="s">
        <v>24</v>
      </c>
      <c r="I10" s="1659"/>
      <c r="J10" s="1659"/>
      <c r="K10" s="1659"/>
    </row>
    <row r="11" spans="1:11">
      <c r="A11" s="1768" t="s">
        <v>150</v>
      </c>
      <c r="B11" s="703">
        <v>1.3</v>
      </c>
      <c r="C11" s="703">
        <v>98.7</v>
      </c>
      <c r="D11" s="703">
        <v>0</v>
      </c>
      <c r="E11" s="703">
        <v>0</v>
      </c>
      <c r="F11" s="703">
        <v>0</v>
      </c>
      <c r="G11" s="703">
        <v>100</v>
      </c>
      <c r="H11" s="703" t="s">
        <v>16</v>
      </c>
      <c r="I11" s="1659"/>
      <c r="J11" s="1659"/>
      <c r="K11" s="1659"/>
    </row>
    <row r="12" spans="1:11">
      <c r="A12" s="1768" t="s">
        <v>151</v>
      </c>
      <c r="B12" s="703">
        <v>3.2</v>
      </c>
      <c r="C12" s="703">
        <v>84.9</v>
      </c>
      <c r="D12" s="703">
        <v>0.1</v>
      </c>
      <c r="E12" s="703">
        <v>11.1</v>
      </c>
      <c r="F12" s="703">
        <v>0.8</v>
      </c>
      <c r="G12" s="703">
        <v>100</v>
      </c>
      <c r="H12" s="703" t="s">
        <v>17</v>
      </c>
      <c r="I12" s="1659"/>
      <c r="J12" s="1659"/>
      <c r="K12" s="1659"/>
    </row>
    <row r="13" spans="1:11">
      <c r="A13" s="1768" t="s">
        <v>152</v>
      </c>
      <c r="B13" s="703">
        <v>2.9</v>
      </c>
      <c r="C13" s="703">
        <v>94</v>
      </c>
      <c r="D13" s="703">
        <v>0.5</v>
      </c>
      <c r="E13" s="703">
        <v>1.5</v>
      </c>
      <c r="F13" s="703">
        <v>1.2</v>
      </c>
      <c r="G13" s="703">
        <v>100</v>
      </c>
      <c r="H13" s="703" t="s">
        <v>25</v>
      </c>
    </row>
    <row r="14" spans="1:11">
      <c r="A14" s="1768" t="s">
        <v>153</v>
      </c>
      <c r="B14" s="703">
        <v>3.4</v>
      </c>
      <c r="C14" s="703">
        <v>88</v>
      </c>
      <c r="D14" s="703">
        <v>0</v>
      </c>
      <c r="E14" s="703">
        <v>3.1</v>
      </c>
      <c r="F14" s="703">
        <v>5.4</v>
      </c>
      <c r="G14" s="703">
        <v>100</v>
      </c>
      <c r="H14" s="703" t="s">
        <v>5</v>
      </c>
    </row>
    <row r="15" spans="1:11">
      <c r="A15" s="1768" t="s">
        <v>154</v>
      </c>
      <c r="B15" s="703">
        <v>4.9000000000000004</v>
      </c>
      <c r="C15" s="703">
        <v>93.1</v>
      </c>
      <c r="D15" s="703">
        <v>0</v>
      </c>
      <c r="E15" s="703">
        <v>2</v>
      </c>
      <c r="F15" s="703">
        <v>0</v>
      </c>
      <c r="G15" s="703">
        <v>100</v>
      </c>
      <c r="H15" s="703" t="s">
        <v>26</v>
      </c>
    </row>
    <row r="16" spans="1:11">
      <c r="A16" s="1768" t="s">
        <v>155</v>
      </c>
      <c r="B16" s="703">
        <v>8</v>
      </c>
      <c r="C16" s="703">
        <v>76.599999999999994</v>
      </c>
      <c r="D16" s="703">
        <v>0.7</v>
      </c>
      <c r="E16" s="703">
        <v>14.600000000000001</v>
      </c>
      <c r="F16" s="703">
        <v>0.1</v>
      </c>
      <c r="G16" s="703">
        <v>100</v>
      </c>
      <c r="H16" s="703" t="s">
        <v>27</v>
      </c>
    </row>
    <row r="17" spans="1:8">
      <c r="A17" s="1768" t="s">
        <v>156</v>
      </c>
      <c r="B17" s="703">
        <v>1.8</v>
      </c>
      <c r="C17" s="703">
        <v>94.4</v>
      </c>
      <c r="D17" s="703">
        <v>0</v>
      </c>
      <c r="E17" s="703">
        <v>0.30000000000000004</v>
      </c>
      <c r="F17" s="703">
        <v>3.3</v>
      </c>
      <c r="G17" s="703">
        <v>100</v>
      </c>
      <c r="H17" s="703" t="s">
        <v>28</v>
      </c>
    </row>
    <row r="18" spans="1:8">
      <c r="A18" s="1768" t="s">
        <v>157</v>
      </c>
      <c r="B18" s="703">
        <v>22.6</v>
      </c>
      <c r="C18" s="703">
        <v>75</v>
      </c>
      <c r="D18" s="703">
        <v>0</v>
      </c>
      <c r="E18" s="703">
        <v>0.8</v>
      </c>
      <c r="F18" s="703">
        <v>1.7</v>
      </c>
      <c r="G18" s="703">
        <v>100</v>
      </c>
      <c r="H18" s="703" t="s">
        <v>6</v>
      </c>
    </row>
    <row r="19" spans="1:8">
      <c r="A19" s="1768" t="s">
        <v>158</v>
      </c>
      <c r="B19" s="703">
        <v>13</v>
      </c>
      <c r="C19" s="703">
        <v>84.1</v>
      </c>
      <c r="D19" s="703">
        <v>0.3</v>
      </c>
      <c r="E19" s="703">
        <v>0.39999999999999997</v>
      </c>
      <c r="F19" s="703">
        <v>2.2000000000000002</v>
      </c>
      <c r="G19" s="703">
        <v>100</v>
      </c>
      <c r="H19" s="703" t="s">
        <v>18</v>
      </c>
    </row>
    <row r="20" spans="1:8">
      <c r="A20" s="1768" t="s">
        <v>159</v>
      </c>
      <c r="B20" s="703">
        <v>1.3</v>
      </c>
      <c r="C20" s="703">
        <v>96.1</v>
      </c>
      <c r="D20" s="703">
        <v>0</v>
      </c>
      <c r="E20" s="703">
        <v>1.7999999999999998</v>
      </c>
      <c r="F20" s="703">
        <v>0.8</v>
      </c>
      <c r="G20" s="703">
        <v>100</v>
      </c>
      <c r="H20" s="703" t="s">
        <v>29</v>
      </c>
    </row>
    <row r="21" spans="1:8">
      <c r="A21" s="1768" t="s">
        <v>160</v>
      </c>
      <c r="B21" s="703">
        <v>2.2000000000000002</v>
      </c>
      <c r="C21" s="703">
        <v>95.7</v>
      </c>
      <c r="D21" s="703">
        <v>0</v>
      </c>
      <c r="E21" s="703">
        <v>1.7</v>
      </c>
      <c r="F21" s="703">
        <v>0.4</v>
      </c>
      <c r="G21" s="703">
        <v>100</v>
      </c>
      <c r="H21" s="703" t="s">
        <v>19</v>
      </c>
    </row>
    <row r="22" spans="1:8">
      <c r="A22" s="1768" t="s">
        <v>161</v>
      </c>
      <c r="B22" s="703">
        <v>4.4000000000000004</v>
      </c>
      <c r="C22" s="703">
        <v>86.3</v>
      </c>
      <c r="D22" s="703">
        <v>0</v>
      </c>
      <c r="E22" s="703">
        <v>9.1</v>
      </c>
      <c r="F22" s="703">
        <v>0.1</v>
      </c>
      <c r="G22" s="703">
        <v>100</v>
      </c>
      <c r="H22" s="703" t="s">
        <v>8</v>
      </c>
    </row>
    <row r="23" spans="1:8">
      <c r="A23" s="1768" t="s">
        <v>162</v>
      </c>
      <c r="B23" s="703">
        <v>1.5</v>
      </c>
      <c r="C23" s="703">
        <v>98.1</v>
      </c>
      <c r="D23" s="703">
        <v>0</v>
      </c>
      <c r="E23" s="703">
        <v>0.4</v>
      </c>
      <c r="F23" s="703">
        <v>0</v>
      </c>
      <c r="G23" s="703">
        <v>100</v>
      </c>
      <c r="H23" s="703" t="s">
        <v>30</v>
      </c>
    </row>
    <row r="24" spans="1:8">
      <c r="A24" s="1768" t="s">
        <v>163</v>
      </c>
      <c r="B24" s="703">
        <v>11</v>
      </c>
      <c r="C24" s="703">
        <v>88.4</v>
      </c>
      <c r="D24" s="703">
        <v>0</v>
      </c>
      <c r="E24" s="703">
        <v>0.5</v>
      </c>
      <c r="F24" s="703">
        <v>0</v>
      </c>
      <c r="G24" s="703">
        <v>100</v>
      </c>
      <c r="H24" s="703" t="s">
        <v>31</v>
      </c>
    </row>
    <row r="25" spans="1:8">
      <c r="A25" s="1768" t="s">
        <v>164</v>
      </c>
      <c r="B25" s="703">
        <v>21.8</v>
      </c>
      <c r="C25" s="703">
        <v>73.3</v>
      </c>
      <c r="D25" s="703">
        <v>0</v>
      </c>
      <c r="E25" s="703">
        <v>2.4000000000000004</v>
      </c>
      <c r="F25" s="703">
        <v>2.5</v>
      </c>
      <c r="G25" s="703">
        <v>100</v>
      </c>
      <c r="H25" s="703" t="s">
        <v>9</v>
      </c>
    </row>
    <row r="26" spans="1:8">
      <c r="A26" s="1768" t="s">
        <v>165</v>
      </c>
      <c r="B26" s="703">
        <v>4.8</v>
      </c>
      <c r="C26" s="703">
        <v>90.9</v>
      </c>
      <c r="D26" s="703">
        <v>1.3</v>
      </c>
      <c r="E26" s="703">
        <v>0.30000000000000027</v>
      </c>
      <c r="F26" s="703">
        <v>2.7</v>
      </c>
      <c r="G26" s="703">
        <v>100</v>
      </c>
      <c r="H26" s="703" t="s">
        <v>32</v>
      </c>
    </row>
    <row r="27" spans="1:8">
      <c r="A27" s="1768" t="s">
        <v>166</v>
      </c>
      <c r="B27" s="703">
        <v>9.8000000000000007</v>
      </c>
      <c r="C27" s="703">
        <v>87.2</v>
      </c>
      <c r="D27" s="703">
        <v>0.1</v>
      </c>
      <c r="E27" s="703">
        <v>0.4</v>
      </c>
      <c r="F27" s="703">
        <v>2.6</v>
      </c>
      <c r="G27" s="703">
        <v>100</v>
      </c>
      <c r="H27" s="703" t="s">
        <v>33</v>
      </c>
    </row>
    <row r="28" spans="1:8">
      <c r="A28" s="1768" t="s">
        <v>167</v>
      </c>
      <c r="B28" s="703">
        <v>0.2</v>
      </c>
      <c r="C28" s="703">
        <v>99.5</v>
      </c>
      <c r="D28" s="703">
        <v>0</v>
      </c>
      <c r="E28" s="703">
        <v>0.30000000000000004</v>
      </c>
      <c r="F28" s="703">
        <v>0</v>
      </c>
      <c r="G28" s="703">
        <v>100</v>
      </c>
      <c r="H28" s="703" t="s">
        <v>20</v>
      </c>
    </row>
    <row r="29" spans="1:8">
      <c r="A29" s="1768" t="s">
        <v>168</v>
      </c>
      <c r="B29" s="703">
        <v>3.1</v>
      </c>
      <c r="C29" s="703">
        <v>91.9</v>
      </c>
      <c r="D29" s="703">
        <v>0</v>
      </c>
      <c r="E29" s="703">
        <v>1.2</v>
      </c>
      <c r="F29" s="703">
        <v>3.7</v>
      </c>
      <c r="G29" s="703">
        <v>100</v>
      </c>
      <c r="H29" s="703" t="s">
        <v>12</v>
      </c>
    </row>
    <row r="30" spans="1:8">
      <c r="A30" s="1768" t="s">
        <v>169</v>
      </c>
      <c r="B30" s="703">
        <v>0.2</v>
      </c>
      <c r="C30" s="703">
        <v>98.4</v>
      </c>
      <c r="D30" s="703">
        <v>0</v>
      </c>
      <c r="E30" s="703">
        <v>0.30000000000000004</v>
      </c>
      <c r="F30" s="703">
        <v>1</v>
      </c>
      <c r="G30" s="703">
        <v>100</v>
      </c>
      <c r="H30" s="703" t="s">
        <v>39</v>
      </c>
    </row>
    <row r="31" spans="1:8">
      <c r="A31" s="1768" t="s">
        <v>170</v>
      </c>
      <c r="B31" s="703">
        <v>17</v>
      </c>
      <c r="C31" s="703">
        <v>81.2</v>
      </c>
      <c r="D31" s="703">
        <v>0</v>
      </c>
      <c r="E31" s="703">
        <v>1.8</v>
      </c>
      <c r="F31" s="703">
        <v>0.1</v>
      </c>
      <c r="G31" s="703">
        <v>100</v>
      </c>
      <c r="H31" s="703" t="s">
        <v>34</v>
      </c>
    </row>
    <row r="32" spans="1:8">
      <c r="A32" s="1768" t="s">
        <v>171</v>
      </c>
      <c r="B32" s="703">
        <v>4.9000000000000004</v>
      </c>
      <c r="C32" s="703">
        <v>94.1</v>
      </c>
      <c r="D32" s="703">
        <v>0.3</v>
      </c>
      <c r="E32" s="703">
        <v>2.3000000000000003</v>
      </c>
      <c r="F32" s="703">
        <v>0.3</v>
      </c>
      <c r="G32" s="703">
        <v>100</v>
      </c>
      <c r="H32" s="703" t="s">
        <v>35</v>
      </c>
    </row>
    <row r="33" spans="1:8">
      <c r="A33" s="1768" t="s">
        <v>172</v>
      </c>
      <c r="B33" s="703">
        <v>17.399999999999999</v>
      </c>
      <c r="C33" s="703">
        <v>76.400000000000006</v>
      </c>
      <c r="D33" s="703">
        <v>0.1</v>
      </c>
      <c r="E33" s="703">
        <v>0.5</v>
      </c>
      <c r="F33" s="703">
        <v>0.7</v>
      </c>
      <c r="G33" s="703">
        <v>100</v>
      </c>
      <c r="H33" s="703" t="s">
        <v>36</v>
      </c>
    </row>
    <row r="34" spans="1:8">
      <c r="A34" s="1768" t="s">
        <v>173</v>
      </c>
      <c r="B34" s="703">
        <v>6.3</v>
      </c>
      <c r="C34" s="703">
        <v>89.8</v>
      </c>
      <c r="D34" s="703">
        <v>1.4</v>
      </c>
      <c r="E34" s="703">
        <v>4.1999999999999993</v>
      </c>
      <c r="F34" s="703">
        <v>1.2</v>
      </c>
      <c r="G34" s="703">
        <v>100</v>
      </c>
      <c r="H34" s="703" t="s">
        <v>37</v>
      </c>
    </row>
    <row r="35" spans="1:8" ht="45">
      <c r="A35" s="257" t="s">
        <v>2602</v>
      </c>
      <c r="B35" s="703">
        <v>2.9</v>
      </c>
      <c r="C35" s="703">
        <v>95.7</v>
      </c>
      <c r="D35" s="703">
        <v>0</v>
      </c>
      <c r="E35" s="703">
        <v>1.4</v>
      </c>
      <c r="F35" s="703">
        <v>0</v>
      </c>
      <c r="G35" s="703">
        <v>100</v>
      </c>
      <c r="H35" s="1769" t="s">
        <v>496</v>
      </c>
    </row>
    <row r="36" spans="1:8">
      <c r="A36" s="1768" t="s">
        <v>175</v>
      </c>
      <c r="B36" s="703">
        <v>0.3</v>
      </c>
      <c r="C36" s="703">
        <v>98.3</v>
      </c>
      <c r="D36" s="703">
        <v>0</v>
      </c>
      <c r="E36" s="703">
        <v>1.4</v>
      </c>
      <c r="F36" s="703">
        <v>0</v>
      </c>
      <c r="G36" s="703">
        <v>100</v>
      </c>
      <c r="H36" s="703" t="s">
        <v>38</v>
      </c>
    </row>
    <row r="37" spans="1:8" ht="30">
      <c r="A37" s="1770" t="s">
        <v>2601</v>
      </c>
      <c r="B37" s="703">
        <v>0.2</v>
      </c>
      <c r="C37" s="703">
        <v>99.1</v>
      </c>
      <c r="D37" s="703">
        <v>0</v>
      </c>
      <c r="E37" s="703">
        <v>0.6</v>
      </c>
      <c r="F37" s="703">
        <v>0</v>
      </c>
      <c r="G37" s="703">
        <v>100</v>
      </c>
      <c r="H37" s="1769" t="s">
        <v>2600</v>
      </c>
    </row>
    <row r="38" spans="1:8">
      <c r="A38" s="703" t="s">
        <v>654</v>
      </c>
      <c r="B38" s="703">
        <v>1.2</v>
      </c>
      <c r="C38" s="703">
        <v>90.7</v>
      </c>
      <c r="D38" s="703">
        <v>0</v>
      </c>
      <c r="E38" s="703">
        <v>7.6</v>
      </c>
      <c r="F38" s="703">
        <v>0.5</v>
      </c>
      <c r="G38" s="703">
        <v>100</v>
      </c>
      <c r="H38" s="1771" t="s">
        <v>649</v>
      </c>
    </row>
    <row r="39" spans="1:8">
      <c r="A39" s="1768" t="s">
        <v>178</v>
      </c>
      <c r="B39" s="703">
        <v>10.199999999999999</v>
      </c>
      <c r="C39" s="703">
        <v>77.900000000000006</v>
      </c>
      <c r="D39" s="703">
        <v>0</v>
      </c>
      <c r="E39" s="703">
        <v>8.8000000000000007</v>
      </c>
      <c r="F39" s="703">
        <v>3</v>
      </c>
      <c r="G39" s="703">
        <v>100</v>
      </c>
      <c r="H39" s="703" t="s">
        <v>7</v>
      </c>
    </row>
    <row r="40" spans="1:8">
      <c r="A40" s="1768" t="s">
        <v>179</v>
      </c>
      <c r="B40" s="703">
        <v>1.6</v>
      </c>
      <c r="C40" s="703">
        <v>97.8</v>
      </c>
      <c r="D40" s="703">
        <v>0</v>
      </c>
      <c r="E40" s="703">
        <v>0.60000000000000009</v>
      </c>
      <c r="F40" s="703">
        <v>0</v>
      </c>
      <c r="G40" s="702">
        <v>100</v>
      </c>
      <c r="H40" s="703" t="s">
        <v>10</v>
      </c>
    </row>
    <row r="41" spans="1:8">
      <c r="A41" s="702" t="s">
        <v>1403</v>
      </c>
      <c r="B41" s="703">
        <v>6.5</v>
      </c>
      <c r="C41" s="703">
        <v>89</v>
      </c>
      <c r="D41" s="703">
        <v>0.3</v>
      </c>
      <c r="E41" s="703">
        <v>2.5000000000000004</v>
      </c>
      <c r="F41" s="703">
        <v>1.7</v>
      </c>
      <c r="G41" s="702">
        <v>100</v>
      </c>
      <c r="H41" s="1772" t="s">
        <v>868</v>
      </c>
    </row>
    <row r="42" spans="1:8" ht="32.25" customHeight="1">
      <c r="A42" s="2155" t="s">
        <v>1402</v>
      </c>
      <c r="B42" s="2156"/>
      <c r="C42" s="2156"/>
      <c r="D42" s="2156"/>
      <c r="E42" s="2156"/>
      <c r="F42" s="2156"/>
      <c r="G42" s="2156"/>
      <c r="H42" s="2157"/>
    </row>
    <row r="43" spans="1:8" s="714" customFormat="1" ht="18.75" customHeight="1">
      <c r="A43" s="2140" t="s">
        <v>2596</v>
      </c>
      <c r="B43" s="2158"/>
      <c r="C43" s="2158"/>
      <c r="D43" s="2158"/>
      <c r="E43" s="2158"/>
      <c r="F43" s="2158"/>
      <c r="G43" s="2158"/>
      <c r="H43" s="2159"/>
    </row>
    <row r="44" spans="1:8" s="714" customFormat="1" ht="18" customHeight="1">
      <c r="A44" s="1328" t="s">
        <v>2595</v>
      </c>
      <c r="H44" s="1329"/>
    </row>
    <row r="45" spans="1:8" hidden="1">
      <c r="H45" s="1337"/>
    </row>
    <row r="46" spans="1:8" hidden="1">
      <c r="H46" s="1337"/>
    </row>
    <row r="47" spans="1:8" hidden="1">
      <c r="H47" s="1337"/>
    </row>
    <row r="48" spans="1:8" hidden="1">
      <c r="H48" s="1337"/>
    </row>
    <row r="49" spans="8:9" s="1321" customFormat="1" hidden="1">
      <c r="H49" s="1738"/>
      <c r="I49" s="713"/>
    </row>
    <row r="50" spans="8:9" s="1321" customFormat="1" hidden="1">
      <c r="H50" s="1738"/>
      <c r="I50" s="713"/>
    </row>
    <row r="51" spans="8:9" s="1321" customFormat="1" hidden="1">
      <c r="H51" s="1738"/>
      <c r="I51" s="713"/>
    </row>
    <row r="52" spans="8:9" s="1321" customFormat="1" hidden="1">
      <c r="H52" s="1738"/>
      <c r="I52" s="713"/>
    </row>
    <row r="53" spans="8:9" s="1321" customFormat="1" hidden="1">
      <c r="H53" s="1738"/>
      <c r="I53" s="713"/>
    </row>
    <row r="54" spans="8:9" s="1321" customFormat="1" ht="27.75" hidden="1" customHeight="1">
      <c r="H54" s="1738"/>
      <c r="I54" s="713"/>
    </row>
    <row r="55" spans="8:9" s="1321" customFormat="1" ht="27.75" hidden="1" customHeight="1">
      <c r="H55" s="1738"/>
      <c r="I55" s="713"/>
    </row>
    <row r="56" spans="8:9" s="1321" customFormat="1" ht="27.75" hidden="1" customHeight="1">
      <c r="H56" s="1738"/>
      <c r="I56" s="713"/>
    </row>
    <row r="57" spans="8:9" s="1321" customFormat="1" ht="27.75" hidden="1" customHeight="1">
      <c r="H57" s="1738"/>
      <c r="I57" s="713"/>
    </row>
    <row r="58" spans="8:9" s="1321" customFormat="1" hidden="1">
      <c r="H58" s="1738"/>
      <c r="I58" s="713"/>
    </row>
    <row r="59" spans="8:9" s="1321" customFormat="1" hidden="1">
      <c r="H59" s="1738"/>
      <c r="I59" s="713"/>
    </row>
    <row r="60" spans="8:9" s="1321" customFormat="1" hidden="1">
      <c r="H60" s="1738"/>
      <c r="I60" s="713"/>
    </row>
    <row r="61" spans="8:9" s="1321" customFormat="1" hidden="1">
      <c r="H61" s="1738"/>
      <c r="I61" s="713"/>
    </row>
    <row r="62" spans="8:9" s="1321" customFormat="1" hidden="1">
      <c r="H62" s="1738"/>
      <c r="I62" s="713"/>
    </row>
    <row r="63" spans="8:9" s="1321" customFormat="1" hidden="1">
      <c r="H63" s="1738"/>
      <c r="I63" s="713"/>
    </row>
    <row r="64" spans="8:9" s="1321" customFormat="1" hidden="1">
      <c r="H64" s="1738"/>
      <c r="I64" s="713"/>
    </row>
    <row r="65" spans="8:9" s="1321" customFormat="1" hidden="1">
      <c r="H65" s="1738"/>
      <c r="I65" s="713"/>
    </row>
    <row r="66" spans="8:9" s="1321" customFormat="1" hidden="1">
      <c r="H66" s="1738"/>
      <c r="I66" s="713"/>
    </row>
    <row r="67" spans="8:9" s="1321" customFormat="1" hidden="1">
      <c r="H67" s="1738"/>
      <c r="I67" s="713"/>
    </row>
    <row r="68" spans="8:9" s="1321" customFormat="1" hidden="1">
      <c r="H68" s="1738"/>
      <c r="I68" s="713"/>
    </row>
    <row r="69" spans="8:9" s="1321" customFormat="1" hidden="1">
      <c r="H69" s="1738"/>
      <c r="I69" s="713"/>
    </row>
    <row r="70" spans="8:9" s="1321" customFormat="1" hidden="1">
      <c r="H70" s="1738"/>
      <c r="I70" s="713"/>
    </row>
    <row r="71" spans="8:9" s="1321" customFormat="1" hidden="1">
      <c r="H71" s="1738"/>
      <c r="I71" s="713"/>
    </row>
    <row r="72" spans="8:9" s="1321" customFormat="1" hidden="1">
      <c r="H72" s="1738"/>
      <c r="I72" s="713"/>
    </row>
    <row r="73" spans="8:9" s="1321" customFormat="1" hidden="1">
      <c r="H73" s="1738"/>
      <c r="I73" s="713"/>
    </row>
    <row r="74" spans="8:9" s="1321" customFormat="1" hidden="1">
      <c r="H74" s="1738"/>
      <c r="I74" s="713"/>
    </row>
    <row r="75" spans="8:9" s="1321" customFormat="1" hidden="1">
      <c r="H75" s="1738"/>
      <c r="I75" s="713"/>
    </row>
    <row r="76" spans="8:9" s="1321" customFormat="1" hidden="1">
      <c r="H76" s="1738"/>
      <c r="I76" s="713"/>
    </row>
    <row r="77" spans="8:9" s="1321" customFormat="1" hidden="1">
      <c r="H77" s="1738"/>
      <c r="I77" s="713"/>
    </row>
    <row r="78" spans="8:9" s="1321" customFormat="1" hidden="1">
      <c r="H78" s="1738"/>
      <c r="I78" s="713"/>
    </row>
    <row r="79" spans="8:9" s="1321" customFormat="1" hidden="1">
      <c r="H79" s="1738"/>
      <c r="I79" s="713"/>
    </row>
    <row r="80" spans="8:9" s="1321" customFormat="1" hidden="1">
      <c r="H80" s="1738"/>
      <c r="I80" s="713"/>
    </row>
    <row r="81" spans="1:8" hidden="1">
      <c r="H81" s="1337"/>
    </row>
    <row r="82" spans="1:8" hidden="1">
      <c r="H82" s="1337"/>
    </row>
    <row r="83" spans="1:8" hidden="1">
      <c r="H83" s="1337"/>
    </row>
    <row r="84" spans="1:8" hidden="1">
      <c r="H84" s="1337"/>
    </row>
    <row r="85" spans="1:8" hidden="1">
      <c r="H85" s="1337"/>
    </row>
    <row r="86" spans="1:8" hidden="1">
      <c r="H86" s="1337"/>
    </row>
    <row r="87" spans="1:8" hidden="1">
      <c r="H87" s="1337"/>
    </row>
    <row r="88" spans="1:8" hidden="1">
      <c r="H88" s="1337"/>
    </row>
    <row r="89" spans="1:8" hidden="1">
      <c r="H89" s="1337"/>
    </row>
    <row r="90" spans="1:8" hidden="1">
      <c r="H90" s="1337"/>
    </row>
    <row r="91" spans="1:8" hidden="1">
      <c r="H91" s="1337"/>
    </row>
    <row r="92" spans="1:8" hidden="1">
      <c r="H92" s="1337"/>
    </row>
    <row r="93" spans="1:8" hidden="1">
      <c r="H93" s="1337"/>
    </row>
    <row r="94" spans="1:8" hidden="1">
      <c r="H94" s="1337"/>
    </row>
    <row r="95" spans="1:8" ht="15.75" thickBot="1">
      <c r="A95" s="1739" t="s">
        <v>2593</v>
      </c>
      <c r="B95" s="1331"/>
      <c r="C95" s="1331"/>
      <c r="D95" s="1331"/>
      <c r="E95" s="1331"/>
      <c r="F95" s="1331"/>
      <c r="G95" s="1331"/>
      <c r="H95" s="1332"/>
    </row>
    <row r="96" spans="1:8" ht="15.75" thickTop="1"/>
    <row r="103" s="713" customFormat="1"/>
  </sheetData>
  <mergeCells count="9">
    <mergeCell ref="A42:H42"/>
    <mergeCell ref="A43:H43"/>
    <mergeCell ref="A1:H1"/>
    <mergeCell ref="H3:H4"/>
    <mergeCell ref="B3:E3"/>
    <mergeCell ref="F3:F4"/>
    <mergeCell ref="G3:G4"/>
    <mergeCell ref="A3:A4"/>
    <mergeCell ref="A2:H2"/>
  </mergeCells>
  <conditionalFormatting sqref="G38:G40 I38:L40 A39:A41 A5:A37 G41:L41 G35:L37 B35:F41 N5:N41 R33:XFD33 B5:L34 O34:XFD41 O5:XFD32">
    <cfRule type="expression" dxfId="69" priority="4">
      <formula>MOD(ROW(),3)=1</formula>
    </cfRule>
  </conditionalFormatting>
  <conditionalFormatting sqref="H39:H40">
    <cfRule type="expression" dxfId="68" priority="3">
      <formula>MOD(ROW(),3)=1</formula>
    </cfRule>
  </conditionalFormatting>
  <conditionalFormatting sqref="H38">
    <cfRule type="expression" dxfId="67" priority="2">
      <formula>MOD(ROW(),3)=1</formula>
    </cfRule>
  </conditionalFormatting>
  <printOptions horizontalCentered="1" verticalCentered="1"/>
  <pageMargins left="0.35433070866141736" right="0.70866141732283472" top="0.51181102362204722" bottom="0.19685039370078741" header="0.31496062992125984" footer="0.31496062992125984"/>
  <pageSetup paperSize="9" scale="84" orientation="portrait" r:id="rId1"/>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A3517-1179-4B8C-AFCB-5356331CEB0B}">
  <dimension ref="A1:K97"/>
  <sheetViews>
    <sheetView view="pageBreakPreview" topLeftCell="A25" zoomScale="110" zoomScaleSheetLayoutView="110" workbookViewId="0">
      <selection activeCell="R38" sqref="R38"/>
    </sheetView>
  </sheetViews>
  <sheetFormatPr defaultColWidth="9.140625" defaultRowHeight="15"/>
  <cols>
    <col min="1" max="1" width="20.85546875" style="713" customWidth="1"/>
    <col min="2" max="2" width="12.7109375" style="713" customWidth="1"/>
    <col min="3" max="5" width="10.28515625" style="713" customWidth="1"/>
    <col min="6" max="6" width="13.7109375" style="713" customWidth="1"/>
    <col min="7" max="7" width="8.28515625" style="713" customWidth="1"/>
    <col min="8" max="8" width="24.28515625" style="713" customWidth="1"/>
    <col min="9" max="11" width="0" style="713" hidden="1" customWidth="1"/>
    <col min="12" max="16384" width="9.140625" style="713"/>
  </cols>
  <sheetData>
    <row r="1" spans="1:11" s="714" customFormat="1" ht="21.75" customHeight="1" thickTop="1">
      <c r="A1" s="2167" t="s">
        <v>2759</v>
      </c>
      <c r="B1" s="2168"/>
      <c r="C1" s="2168"/>
      <c r="D1" s="2168"/>
      <c r="E1" s="2168"/>
      <c r="F1" s="2168"/>
      <c r="G1" s="2168"/>
      <c r="H1" s="2169"/>
    </row>
    <row r="2" spans="1:11" s="714" customFormat="1" ht="23.25" customHeight="1">
      <c r="A2" s="2170" t="s">
        <v>2760</v>
      </c>
      <c r="B2" s="2171"/>
      <c r="C2" s="2171"/>
      <c r="D2" s="2171"/>
      <c r="E2" s="2171"/>
      <c r="F2" s="2171"/>
      <c r="G2" s="2171"/>
      <c r="H2" s="2172"/>
    </row>
    <row r="3" spans="1:11" s="714" customFormat="1">
      <c r="A3" s="2173" t="s">
        <v>1406</v>
      </c>
      <c r="B3" s="2174"/>
      <c r="C3" s="2174"/>
      <c r="D3" s="2174"/>
      <c r="E3" s="2174"/>
      <c r="F3" s="2174"/>
      <c r="G3" s="2174"/>
      <c r="H3" s="2175"/>
    </row>
    <row r="4" spans="1:11" s="716" customFormat="1" ht="33.75" customHeight="1">
      <c r="A4" s="2154" t="s">
        <v>1341</v>
      </c>
      <c r="B4" s="2150" t="s">
        <v>1400</v>
      </c>
      <c r="C4" s="2151"/>
      <c r="D4" s="2151"/>
      <c r="E4" s="2151"/>
      <c r="F4" s="2150" t="s">
        <v>1399</v>
      </c>
      <c r="G4" s="2150" t="s">
        <v>1398</v>
      </c>
      <c r="H4" s="2149" t="s">
        <v>1339</v>
      </c>
      <c r="I4" s="718"/>
      <c r="J4" s="717"/>
      <c r="K4" s="717"/>
    </row>
    <row r="5" spans="1:11" s="716" customFormat="1" ht="106.5" customHeight="1">
      <c r="A5" s="2154"/>
      <c r="B5" s="1548" t="s">
        <v>1404</v>
      </c>
      <c r="C5" s="1548" t="s">
        <v>1396</v>
      </c>
      <c r="D5" s="1548" t="s">
        <v>1395</v>
      </c>
      <c r="E5" s="1548" t="s">
        <v>1394</v>
      </c>
      <c r="F5" s="2150"/>
      <c r="G5" s="2151"/>
      <c r="H5" s="2149"/>
      <c r="I5" s="718"/>
      <c r="J5" s="717"/>
      <c r="K5" s="2163"/>
    </row>
    <row r="6" spans="1:11">
      <c r="A6" s="1338" t="s">
        <v>144</v>
      </c>
      <c r="B6" s="1103">
        <v>11.3</v>
      </c>
      <c r="C6" s="1103">
        <v>86.3</v>
      </c>
      <c r="D6" s="1103">
        <v>0</v>
      </c>
      <c r="E6" s="1103">
        <v>0.2</v>
      </c>
      <c r="F6" s="1103">
        <v>2.2000000000000002</v>
      </c>
      <c r="G6" s="702">
        <v>100</v>
      </c>
      <c r="H6" s="1315" t="s">
        <v>14</v>
      </c>
      <c r="I6" s="715"/>
      <c r="J6" s="703"/>
      <c r="K6" s="2163"/>
    </row>
    <row r="7" spans="1:11">
      <c r="A7" s="1333" t="s">
        <v>145</v>
      </c>
      <c r="B7" s="1103">
        <v>46</v>
      </c>
      <c r="C7" s="1103">
        <v>53.2</v>
      </c>
      <c r="D7" s="1103">
        <v>0</v>
      </c>
      <c r="E7" s="1103">
        <v>0.7</v>
      </c>
      <c r="F7" s="1103">
        <v>0.1</v>
      </c>
      <c r="G7" s="702">
        <v>100</v>
      </c>
      <c r="H7" s="1315" t="s">
        <v>15</v>
      </c>
      <c r="I7" s="715"/>
      <c r="J7" s="703"/>
      <c r="K7" s="2163"/>
    </row>
    <row r="8" spans="1:11">
      <c r="A8" s="1333" t="s">
        <v>146</v>
      </c>
      <c r="B8" s="1103">
        <v>52.2</v>
      </c>
      <c r="C8" s="1103">
        <v>47</v>
      </c>
      <c r="D8" s="1103">
        <v>0.2</v>
      </c>
      <c r="E8" s="1103">
        <v>0.49999999999999994</v>
      </c>
      <c r="F8" s="1103">
        <v>0.1</v>
      </c>
      <c r="G8" s="702">
        <v>100</v>
      </c>
      <c r="H8" s="1315" t="s">
        <v>21</v>
      </c>
      <c r="I8" s="715"/>
      <c r="J8" s="703"/>
      <c r="K8" s="703"/>
    </row>
    <row r="9" spans="1:11">
      <c r="A9" s="1333" t="s">
        <v>147</v>
      </c>
      <c r="B9" s="1103">
        <v>37.4</v>
      </c>
      <c r="C9" s="1103">
        <v>53.9</v>
      </c>
      <c r="D9" s="1103">
        <v>8.3000000000000007</v>
      </c>
      <c r="E9" s="1103">
        <v>0.19999999999999929</v>
      </c>
      <c r="F9" s="1103">
        <v>0</v>
      </c>
      <c r="G9" s="702">
        <v>100</v>
      </c>
      <c r="H9" s="1315" t="s">
        <v>22</v>
      </c>
      <c r="I9" s="715"/>
      <c r="J9" s="703"/>
      <c r="K9" s="703"/>
    </row>
    <row r="10" spans="1:11">
      <c r="A10" s="1333" t="s">
        <v>148</v>
      </c>
      <c r="B10" s="1103">
        <v>67.099999999999994</v>
      </c>
      <c r="C10" s="1103">
        <v>30.6</v>
      </c>
      <c r="D10" s="1103">
        <v>0.2</v>
      </c>
      <c r="E10" s="1103">
        <v>1.8</v>
      </c>
      <c r="F10" s="1103">
        <v>0.2</v>
      </c>
      <c r="G10" s="702">
        <v>100</v>
      </c>
      <c r="H10" s="1315" t="s">
        <v>23</v>
      </c>
      <c r="I10" s="715"/>
      <c r="J10" s="703"/>
      <c r="K10" s="703"/>
    </row>
    <row r="11" spans="1:11">
      <c r="A11" s="1333" t="s">
        <v>149</v>
      </c>
      <c r="B11" s="1103">
        <v>0.2</v>
      </c>
      <c r="C11" s="1103">
        <v>94.6</v>
      </c>
      <c r="D11" s="1103">
        <v>0</v>
      </c>
      <c r="E11" s="1103">
        <v>3.8000000000000003</v>
      </c>
      <c r="F11" s="1103">
        <v>1.3</v>
      </c>
      <c r="G11" s="702">
        <v>100</v>
      </c>
      <c r="H11" s="1315" t="s">
        <v>24</v>
      </c>
      <c r="I11" s="715"/>
      <c r="J11" s="703"/>
      <c r="K11" s="703"/>
    </row>
    <row r="12" spans="1:11">
      <c r="A12" s="1333" t="s">
        <v>150</v>
      </c>
      <c r="B12" s="1103">
        <v>3.5</v>
      </c>
      <c r="C12" s="1103">
        <v>96.5</v>
      </c>
      <c r="D12" s="1103">
        <v>0</v>
      </c>
      <c r="E12" s="1103">
        <v>0</v>
      </c>
      <c r="F12" s="1103">
        <v>0</v>
      </c>
      <c r="G12" s="702">
        <v>100</v>
      </c>
      <c r="H12" s="1315" t="s">
        <v>16</v>
      </c>
      <c r="I12" s="715"/>
      <c r="J12" s="703"/>
      <c r="K12" s="703"/>
    </row>
    <row r="13" spans="1:11">
      <c r="A13" s="1333" t="s">
        <v>151</v>
      </c>
      <c r="B13" s="1103">
        <v>24.5</v>
      </c>
      <c r="C13" s="1103">
        <v>69.599999999999994</v>
      </c>
      <c r="D13" s="1103">
        <v>0.1</v>
      </c>
      <c r="E13" s="1103">
        <v>5.3</v>
      </c>
      <c r="F13" s="1103">
        <v>0.4</v>
      </c>
      <c r="G13" s="702">
        <v>100</v>
      </c>
      <c r="H13" s="1315" t="s">
        <v>17</v>
      </c>
      <c r="I13" s="715"/>
      <c r="J13" s="703"/>
      <c r="K13" s="703"/>
    </row>
    <row r="14" spans="1:11">
      <c r="A14" s="1333" t="s">
        <v>152</v>
      </c>
      <c r="B14" s="1103">
        <v>25.4</v>
      </c>
      <c r="C14" s="1103">
        <v>70.7</v>
      </c>
      <c r="D14" s="1103">
        <v>2.4</v>
      </c>
      <c r="E14" s="1103">
        <v>0.89999999999999991</v>
      </c>
      <c r="F14" s="1103">
        <v>0.5</v>
      </c>
      <c r="G14" s="702">
        <v>100</v>
      </c>
      <c r="H14" s="1315" t="s">
        <v>25</v>
      </c>
    </row>
    <row r="15" spans="1:11">
      <c r="A15" s="1333" t="s">
        <v>153</v>
      </c>
      <c r="B15" s="1103">
        <v>50.4</v>
      </c>
      <c r="C15" s="1103">
        <v>48</v>
      </c>
      <c r="D15" s="1103">
        <v>0</v>
      </c>
      <c r="E15" s="1103">
        <v>0.9</v>
      </c>
      <c r="F15" s="1103">
        <v>0.7</v>
      </c>
      <c r="G15" s="702">
        <v>100</v>
      </c>
      <c r="H15" s="1315" t="s">
        <v>5</v>
      </c>
    </row>
    <row r="16" spans="1:11">
      <c r="A16" s="1333" t="s">
        <v>154</v>
      </c>
      <c r="B16" s="1103">
        <v>38</v>
      </c>
      <c r="C16" s="1103">
        <v>61</v>
      </c>
      <c r="D16" s="1103">
        <v>0</v>
      </c>
      <c r="E16" s="1103">
        <v>1</v>
      </c>
      <c r="F16" s="1103">
        <v>0</v>
      </c>
      <c r="G16" s="702">
        <v>100</v>
      </c>
      <c r="H16" s="1315" t="s">
        <v>26</v>
      </c>
    </row>
    <row r="17" spans="1:8">
      <c r="A17" s="1333" t="s">
        <v>155</v>
      </c>
      <c r="B17" s="1103">
        <v>55.1</v>
      </c>
      <c r="C17" s="1103">
        <v>36.1</v>
      </c>
      <c r="D17" s="1103">
        <v>1.3</v>
      </c>
      <c r="E17" s="1103">
        <v>7.3</v>
      </c>
      <c r="F17" s="1103">
        <v>0</v>
      </c>
      <c r="G17" s="702">
        <v>100</v>
      </c>
      <c r="H17" s="1315" t="s">
        <v>27</v>
      </c>
    </row>
    <row r="18" spans="1:8">
      <c r="A18" s="1333" t="s">
        <v>156</v>
      </c>
      <c r="B18" s="1103">
        <v>8.4</v>
      </c>
      <c r="C18" s="1103">
        <v>89.6</v>
      </c>
      <c r="D18" s="1103">
        <v>0</v>
      </c>
      <c r="E18" s="1103">
        <v>0.5</v>
      </c>
      <c r="F18" s="1103">
        <v>1.6</v>
      </c>
      <c r="G18" s="702">
        <v>100</v>
      </c>
      <c r="H18" s="1315" t="s">
        <v>28</v>
      </c>
    </row>
    <row r="19" spans="1:8">
      <c r="A19" s="1333" t="s">
        <v>157</v>
      </c>
      <c r="B19" s="1103">
        <v>31</v>
      </c>
      <c r="C19" s="1103">
        <v>67.099999999999994</v>
      </c>
      <c r="D19" s="1103">
        <v>0</v>
      </c>
      <c r="E19" s="1103">
        <v>0.79999999999999993</v>
      </c>
      <c r="F19" s="1103">
        <v>1.1000000000000001</v>
      </c>
      <c r="G19" s="702">
        <v>100</v>
      </c>
      <c r="H19" s="1315" t="s">
        <v>6</v>
      </c>
    </row>
    <row r="20" spans="1:8">
      <c r="A20" s="1333" t="s">
        <v>158</v>
      </c>
      <c r="B20" s="1103">
        <v>56</v>
      </c>
      <c r="C20" s="1103">
        <v>40.799999999999997</v>
      </c>
      <c r="D20" s="1103">
        <v>2.2999999999999998</v>
      </c>
      <c r="E20" s="1103">
        <v>0.20000000000000018</v>
      </c>
      <c r="F20" s="1103">
        <v>0.7</v>
      </c>
      <c r="G20" s="702">
        <v>100</v>
      </c>
      <c r="H20" s="1315" t="s">
        <v>18</v>
      </c>
    </row>
    <row r="21" spans="1:8">
      <c r="A21" s="1333" t="s">
        <v>159</v>
      </c>
      <c r="B21" s="1103">
        <v>17.100000000000001</v>
      </c>
      <c r="C21" s="1103">
        <v>80.8</v>
      </c>
      <c r="D21" s="1103">
        <v>0</v>
      </c>
      <c r="E21" s="1103">
        <v>1.5</v>
      </c>
      <c r="F21" s="1103">
        <v>0.5</v>
      </c>
      <c r="G21" s="702">
        <v>100</v>
      </c>
      <c r="H21" s="1315" t="s">
        <v>29</v>
      </c>
    </row>
    <row r="22" spans="1:8">
      <c r="A22" s="1333" t="s">
        <v>160</v>
      </c>
      <c r="B22" s="1103">
        <v>21.5</v>
      </c>
      <c r="C22" s="1103">
        <v>77.8</v>
      </c>
      <c r="D22" s="1103">
        <v>0</v>
      </c>
      <c r="E22" s="1103">
        <v>0.5</v>
      </c>
      <c r="F22" s="1103">
        <v>0.1</v>
      </c>
      <c r="G22" s="702">
        <v>100</v>
      </c>
      <c r="H22" s="1315" t="s">
        <v>19</v>
      </c>
    </row>
    <row r="23" spans="1:8">
      <c r="A23" s="1333" t="s">
        <v>161</v>
      </c>
      <c r="B23" s="1103">
        <v>54.8</v>
      </c>
      <c r="C23" s="1103">
        <v>39.299999999999997</v>
      </c>
      <c r="D23" s="1103">
        <v>0</v>
      </c>
      <c r="E23" s="1103">
        <v>5.8999999999999995</v>
      </c>
      <c r="F23" s="1103">
        <v>0.1</v>
      </c>
      <c r="G23" s="702">
        <v>100</v>
      </c>
      <c r="H23" s="1315" t="s">
        <v>8</v>
      </c>
    </row>
    <row r="24" spans="1:8">
      <c r="A24" s="1333" t="s">
        <v>162</v>
      </c>
      <c r="B24" s="1103">
        <v>25.4</v>
      </c>
      <c r="C24" s="1103">
        <v>74.2</v>
      </c>
      <c r="D24" s="1103">
        <v>0</v>
      </c>
      <c r="E24" s="1103">
        <v>0.4</v>
      </c>
      <c r="F24" s="1103">
        <v>0</v>
      </c>
      <c r="G24" s="702">
        <v>100</v>
      </c>
      <c r="H24" s="1315" t="s">
        <v>30</v>
      </c>
    </row>
    <row r="25" spans="1:8">
      <c r="A25" s="1333" t="s">
        <v>163</v>
      </c>
      <c r="B25" s="1103">
        <v>55.4</v>
      </c>
      <c r="C25" s="1103">
        <v>44.3</v>
      </c>
      <c r="D25" s="1103">
        <v>0</v>
      </c>
      <c r="E25" s="1103">
        <v>0.4</v>
      </c>
      <c r="F25" s="1103">
        <v>0</v>
      </c>
      <c r="G25" s="702">
        <v>100</v>
      </c>
      <c r="H25" s="1315" t="s">
        <v>31</v>
      </c>
    </row>
    <row r="26" spans="1:8">
      <c r="A26" s="1333" t="s">
        <v>164</v>
      </c>
      <c r="B26" s="1103">
        <v>67.3</v>
      </c>
      <c r="C26" s="1103">
        <v>31.4</v>
      </c>
      <c r="D26" s="1103">
        <v>0</v>
      </c>
      <c r="E26" s="1103">
        <v>0.60000000000000009</v>
      </c>
      <c r="F26" s="1103">
        <v>0.5</v>
      </c>
      <c r="G26" s="702">
        <v>100</v>
      </c>
      <c r="H26" s="1315" t="s">
        <v>9</v>
      </c>
    </row>
    <row r="27" spans="1:8">
      <c r="A27" s="1333" t="s">
        <v>165</v>
      </c>
      <c r="B27" s="1103">
        <v>13.9</v>
      </c>
      <c r="C27" s="1103">
        <v>78.3</v>
      </c>
      <c r="D27" s="1103">
        <v>6.3</v>
      </c>
      <c r="E27" s="1103">
        <v>0.19999999999999929</v>
      </c>
      <c r="F27" s="1103">
        <v>1.1000000000000001</v>
      </c>
      <c r="G27" s="702">
        <v>100</v>
      </c>
      <c r="H27" s="1315" t="s">
        <v>32</v>
      </c>
    </row>
    <row r="28" spans="1:8">
      <c r="A28" s="1333" t="s">
        <v>166</v>
      </c>
      <c r="B28" s="1103">
        <v>54.4</v>
      </c>
      <c r="C28" s="1103">
        <v>44</v>
      </c>
      <c r="D28" s="1103">
        <v>0.4</v>
      </c>
      <c r="E28" s="1103">
        <v>0.50000000000000011</v>
      </c>
      <c r="F28" s="1103">
        <v>0.7</v>
      </c>
      <c r="G28" s="702">
        <v>100</v>
      </c>
      <c r="H28" s="1315" t="s">
        <v>33</v>
      </c>
    </row>
    <row r="29" spans="1:8">
      <c r="A29" s="1333" t="s">
        <v>167</v>
      </c>
      <c r="B29" s="1103">
        <v>5.5</v>
      </c>
      <c r="C29" s="1103">
        <v>93.9</v>
      </c>
      <c r="D29" s="1103">
        <v>0</v>
      </c>
      <c r="E29" s="1103">
        <v>0.5</v>
      </c>
      <c r="F29" s="1103">
        <v>0</v>
      </c>
      <c r="G29" s="702">
        <v>100</v>
      </c>
      <c r="H29" s="1315" t="s">
        <v>20</v>
      </c>
    </row>
    <row r="30" spans="1:8">
      <c r="A30" s="1333" t="s">
        <v>168</v>
      </c>
      <c r="B30" s="1103">
        <v>10.9</v>
      </c>
      <c r="C30" s="1103">
        <v>86.2</v>
      </c>
      <c r="D30" s="1103">
        <v>0</v>
      </c>
      <c r="E30" s="1103">
        <v>0.89999999999999991</v>
      </c>
      <c r="F30" s="1103">
        <v>1.9</v>
      </c>
      <c r="G30" s="702">
        <v>100</v>
      </c>
      <c r="H30" s="1315" t="s">
        <v>12</v>
      </c>
    </row>
    <row r="31" spans="1:8">
      <c r="A31" s="1333" t="s">
        <v>169</v>
      </c>
      <c r="B31" s="1103">
        <v>2.5</v>
      </c>
      <c r="C31" s="1103">
        <v>96.7</v>
      </c>
      <c r="D31" s="1103">
        <v>0</v>
      </c>
      <c r="E31" s="1103">
        <v>0.1</v>
      </c>
      <c r="F31" s="1103">
        <v>0.6</v>
      </c>
      <c r="G31" s="702">
        <v>100</v>
      </c>
      <c r="H31" s="1315" t="s">
        <v>39</v>
      </c>
    </row>
    <row r="32" spans="1:8">
      <c r="A32" s="1333" t="s">
        <v>170</v>
      </c>
      <c r="B32" s="1103">
        <v>57</v>
      </c>
      <c r="C32" s="1103">
        <v>42.3</v>
      </c>
      <c r="D32" s="1103">
        <v>0</v>
      </c>
      <c r="E32" s="1103">
        <v>0.6</v>
      </c>
      <c r="F32" s="1103">
        <v>0.1</v>
      </c>
      <c r="G32" s="702">
        <v>100</v>
      </c>
      <c r="H32" s="1315" t="s">
        <v>34</v>
      </c>
    </row>
    <row r="33" spans="1:8">
      <c r="A33" s="1333" t="s">
        <v>171</v>
      </c>
      <c r="B33" s="1103">
        <v>37.700000000000003</v>
      </c>
      <c r="C33" s="1103">
        <v>54.1</v>
      </c>
      <c r="D33" s="1103">
        <v>7.4</v>
      </c>
      <c r="E33" s="1103">
        <v>0.39999999999999947</v>
      </c>
      <c r="F33" s="1103">
        <v>0.3</v>
      </c>
      <c r="G33" s="702">
        <v>100</v>
      </c>
      <c r="H33" s="1315" t="s">
        <v>35</v>
      </c>
    </row>
    <row r="34" spans="1:8">
      <c r="A34" s="1333" t="s">
        <v>172</v>
      </c>
      <c r="B34" s="1103">
        <v>23.3</v>
      </c>
      <c r="C34" s="1103">
        <v>74.8</v>
      </c>
      <c r="D34" s="1103">
        <v>0.2</v>
      </c>
      <c r="E34" s="1103">
        <v>1.1000000000000001</v>
      </c>
      <c r="F34" s="1103">
        <v>0.6</v>
      </c>
      <c r="G34" s="702">
        <v>100</v>
      </c>
      <c r="H34" s="1315" t="s">
        <v>36</v>
      </c>
    </row>
    <row r="35" spans="1:8">
      <c r="A35" s="1333" t="s">
        <v>173</v>
      </c>
      <c r="B35" s="1103">
        <v>58.5</v>
      </c>
      <c r="C35" s="1103">
        <v>37.799999999999997</v>
      </c>
      <c r="D35" s="1103">
        <v>0.9</v>
      </c>
      <c r="E35" s="1103">
        <v>2.6000000000000005</v>
      </c>
      <c r="F35" s="1103">
        <v>0.2</v>
      </c>
      <c r="G35" s="702">
        <v>100</v>
      </c>
      <c r="H35" s="1315" t="s">
        <v>37</v>
      </c>
    </row>
    <row r="36" spans="1:8" ht="30">
      <c r="A36" s="1334" t="s">
        <v>174</v>
      </c>
      <c r="B36" s="1103">
        <v>11.7</v>
      </c>
      <c r="C36" s="1103">
        <v>86.1</v>
      </c>
      <c r="D36" s="1103">
        <v>0</v>
      </c>
      <c r="E36" s="1103">
        <v>2.2000000000000002</v>
      </c>
      <c r="F36" s="1103">
        <v>0</v>
      </c>
      <c r="G36" s="702">
        <v>100</v>
      </c>
      <c r="H36" s="1339" t="s">
        <v>496</v>
      </c>
    </row>
    <row r="37" spans="1:8">
      <c r="A37" s="1333" t="s">
        <v>175</v>
      </c>
      <c r="B37" s="1103">
        <v>0.2</v>
      </c>
      <c r="C37" s="1103">
        <v>98.3</v>
      </c>
      <c r="D37" s="1103">
        <v>0</v>
      </c>
      <c r="E37" s="1103">
        <v>1.4</v>
      </c>
      <c r="F37" s="1103" t="s">
        <v>2603</v>
      </c>
      <c r="G37" s="702">
        <v>100</v>
      </c>
      <c r="H37" s="1315" t="s">
        <v>38</v>
      </c>
    </row>
    <row r="38" spans="1:8" ht="31.5" customHeight="1">
      <c r="A38" s="1335" t="s">
        <v>2605</v>
      </c>
      <c r="B38" s="1103">
        <v>10.1</v>
      </c>
      <c r="C38" s="1103">
        <v>89.4</v>
      </c>
      <c r="D38" s="1103">
        <v>0</v>
      </c>
      <c r="E38" s="1103">
        <v>0.5</v>
      </c>
      <c r="F38" s="1103">
        <v>0</v>
      </c>
      <c r="G38" s="702">
        <v>100</v>
      </c>
      <c r="H38" s="1340" t="s">
        <v>2604</v>
      </c>
    </row>
    <row r="39" spans="1:8">
      <c r="A39" s="1325" t="s">
        <v>654</v>
      </c>
      <c r="B39" s="1103">
        <v>11.5</v>
      </c>
      <c r="C39" s="1103">
        <v>87.2</v>
      </c>
      <c r="D39" s="1103">
        <v>0</v>
      </c>
      <c r="E39" s="1103">
        <v>1.2</v>
      </c>
      <c r="F39" s="1103">
        <v>0.1</v>
      </c>
      <c r="G39" s="702">
        <v>100</v>
      </c>
      <c r="H39" s="1337" t="s">
        <v>649</v>
      </c>
    </row>
    <row r="40" spans="1:8">
      <c r="A40" s="1333" t="s">
        <v>178</v>
      </c>
      <c r="B40" s="1103">
        <v>16.2</v>
      </c>
      <c r="C40" s="1103">
        <v>71.2</v>
      </c>
      <c r="D40" s="1103">
        <v>0</v>
      </c>
      <c r="E40" s="1103">
        <v>10.3</v>
      </c>
      <c r="F40" s="1103">
        <v>2.2999999999999998</v>
      </c>
      <c r="G40" s="702">
        <v>100</v>
      </c>
      <c r="H40" s="1315" t="s">
        <v>7</v>
      </c>
    </row>
    <row r="41" spans="1:8">
      <c r="A41" s="1333" t="s">
        <v>179</v>
      </c>
      <c r="B41" s="1103">
        <v>3</v>
      </c>
      <c r="C41" s="1103">
        <v>96.6</v>
      </c>
      <c r="D41" s="1103">
        <v>0</v>
      </c>
      <c r="E41" s="1103">
        <v>0.6</v>
      </c>
      <c r="F41" s="1103" t="s">
        <v>2603</v>
      </c>
      <c r="G41" s="702">
        <v>100</v>
      </c>
      <c r="H41" s="1315" t="s">
        <v>10</v>
      </c>
    </row>
    <row r="42" spans="1:8">
      <c r="A42" s="1336" t="s">
        <v>1403</v>
      </c>
      <c r="B42" s="1103">
        <v>33.799999999999997</v>
      </c>
      <c r="C42" s="1103">
        <v>62</v>
      </c>
      <c r="D42" s="1103">
        <v>2.2000000000000002</v>
      </c>
      <c r="E42" s="1103">
        <v>1.3000000000000003</v>
      </c>
      <c r="F42" s="1103">
        <v>0.7</v>
      </c>
      <c r="G42" s="702">
        <v>100</v>
      </c>
      <c r="H42" s="1324" t="s">
        <v>868</v>
      </c>
    </row>
    <row r="43" spans="1:8">
      <c r="A43" s="1321"/>
      <c r="B43" s="1326"/>
      <c r="C43" s="1326"/>
      <c r="D43" s="1326"/>
      <c r="E43" s="1326"/>
      <c r="F43" s="1326"/>
      <c r="G43" s="1326"/>
      <c r="H43" s="1327"/>
    </row>
    <row r="44" spans="1:8" ht="32.25" customHeight="1">
      <c r="A44" s="2164" t="s">
        <v>1402</v>
      </c>
      <c r="B44" s="2165"/>
      <c r="C44" s="2165"/>
      <c r="D44" s="2165"/>
      <c r="E44" s="2165"/>
      <c r="F44" s="2165"/>
      <c r="G44" s="2165"/>
      <c r="H44" s="2166"/>
    </row>
    <row r="45" spans="1:8" s="714" customFormat="1" ht="18" customHeight="1">
      <c r="A45" s="2140" t="s">
        <v>2596</v>
      </c>
      <c r="B45" s="2141"/>
      <c r="C45" s="2141"/>
      <c r="D45" s="2141"/>
      <c r="E45" s="2141"/>
      <c r="F45" s="2141"/>
      <c r="G45" s="2141"/>
      <c r="H45" s="2142"/>
    </row>
    <row r="46" spans="1:8" s="714" customFormat="1" ht="18" customHeight="1">
      <c r="A46" s="1328" t="s">
        <v>2595</v>
      </c>
      <c r="H46" s="1329"/>
    </row>
    <row r="47" spans="1:8" ht="15" customHeight="1" thickBot="1">
      <c r="A47" s="1341" t="s">
        <v>2593</v>
      </c>
      <c r="B47" s="1331"/>
      <c r="C47" s="1331"/>
      <c r="D47" s="1331"/>
      <c r="E47" s="1331"/>
      <c r="F47" s="1331"/>
      <c r="G47" s="1331"/>
      <c r="H47" s="1332"/>
    </row>
    <row r="48" spans="1:8" ht="15.75" thickTop="1"/>
    <row r="97" spans="1:1">
      <c r="A97" s="1102" t="s">
        <v>2593</v>
      </c>
    </row>
  </sheetData>
  <mergeCells count="11">
    <mergeCell ref="K5:K7"/>
    <mergeCell ref="A44:H44"/>
    <mergeCell ref="A45:H45"/>
    <mergeCell ref="A1:H1"/>
    <mergeCell ref="A2:H2"/>
    <mergeCell ref="H4:H5"/>
    <mergeCell ref="B4:E4"/>
    <mergeCell ref="F4:F5"/>
    <mergeCell ref="G4:G5"/>
    <mergeCell ref="A4:A5"/>
    <mergeCell ref="A3:H3"/>
  </mergeCells>
  <conditionalFormatting sqref="M35:XFD42 Q33:XFD34 A6:K42 M6:XFD32">
    <cfRule type="expression" dxfId="66" priority="2">
      <formula>MOD(ROW(),3)=1</formula>
    </cfRule>
  </conditionalFormatting>
  <printOptions horizontalCentered="1" verticalCentered="1"/>
  <pageMargins left="0.35433070866141736" right="0.70866141732283472" top="0.51181102362204722" bottom="0.19685039370078741" header="0.31496062992125984" footer="0.31496062992125984"/>
  <pageSetup paperSize="9" scale="82" orientation="portrait" r:id="rId1"/>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EC7B8-649F-4CB2-88B4-4E9A8D6A1929}">
  <dimension ref="A1:CL57"/>
  <sheetViews>
    <sheetView view="pageBreakPreview" topLeftCell="BP1" zoomScaleSheetLayoutView="100" workbookViewId="0">
      <selection activeCell="S17" sqref="S17"/>
    </sheetView>
  </sheetViews>
  <sheetFormatPr defaultColWidth="9.140625" defaultRowHeight="15"/>
  <cols>
    <col min="1" max="1" width="9.140625" style="1" hidden="1" customWidth="1"/>
    <col min="2" max="2" width="20" style="1" hidden="1" customWidth="1"/>
    <col min="3" max="3" width="11.140625" style="1" hidden="1" customWidth="1"/>
    <col min="4" max="4" width="15.85546875" style="1" hidden="1" customWidth="1"/>
    <col min="5" max="5" width="9.140625" style="1" hidden="1" customWidth="1"/>
    <col min="6" max="6" width="12.140625" style="1" hidden="1" customWidth="1"/>
    <col min="7" max="7" width="10.5703125" style="1" hidden="1" customWidth="1"/>
    <col min="8" max="8" width="9.140625" style="1" hidden="1" customWidth="1"/>
    <col min="9" max="9" width="21.85546875" style="1" hidden="1" customWidth="1"/>
    <col min="10" max="10" width="7" style="1" hidden="1" customWidth="1"/>
    <col min="11" max="11" width="19" style="1" hidden="1" customWidth="1"/>
    <col min="12" max="12" width="11" style="1" hidden="1" customWidth="1"/>
    <col min="13" max="13" width="10.7109375" style="1" hidden="1" customWidth="1"/>
    <col min="14" max="14" width="10.140625" style="1" hidden="1" customWidth="1"/>
    <col min="15" max="15" width="9.140625" style="1" hidden="1" customWidth="1"/>
    <col min="16" max="16" width="10.7109375" style="1" hidden="1" customWidth="1"/>
    <col min="17" max="17" width="9.140625" style="1" hidden="1" customWidth="1"/>
    <col min="18" max="18" width="12.42578125" style="1" hidden="1" customWidth="1"/>
    <col min="19" max="19" width="19.42578125" style="1" hidden="1" customWidth="1"/>
    <col min="20" max="20" width="9.140625" style="1" hidden="1" customWidth="1"/>
    <col min="21" max="21" width="19.42578125" style="1" hidden="1" customWidth="1"/>
    <col min="22" max="23" width="9.140625" style="1" hidden="1" customWidth="1"/>
    <col min="24" max="24" width="11" style="1" hidden="1" customWidth="1"/>
    <col min="25" max="25" width="15.28515625" style="1" hidden="1" customWidth="1"/>
    <col min="26" max="26" width="20.85546875" style="1" hidden="1" customWidth="1"/>
    <col min="27" max="27" width="22.28515625" style="1" hidden="1" customWidth="1"/>
    <col min="28" max="28" width="11.42578125" style="1" hidden="1" customWidth="1"/>
    <col min="29" max="29" width="24.7109375" style="1" hidden="1" customWidth="1"/>
    <col min="30" max="32" width="19.140625" style="1" hidden="1" customWidth="1"/>
    <col min="33" max="33" width="24.5703125" style="1" hidden="1" customWidth="1"/>
    <col min="34" max="34" width="9.140625" style="1" hidden="1" customWidth="1"/>
    <col min="35" max="35" width="19.28515625" style="1" hidden="1" customWidth="1"/>
    <col min="36" max="41" width="10.7109375" style="1" hidden="1" customWidth="1"/>
    <col min="42" max="42" width="17.7109375" style="1" hidden="1" customWidth="1"/>
    <col min="43" max="43" width="9.140625" style="1" hidden="1" customWidth="1"/>
    <col min="44" max="44" width="17.28515625" style="1" hidden="1" customWidth="1"/>
    <col min="45" max="51" width="10.7109375" style="1" hidden="1" customWidth="1"/>
    <col min="52" max="52" width="19.28515625" style="1" hidden="1" customWidth="1"/>
    <col min="53" max="53" width="9.140625" style="1" hidden="1" customWidth="1"/>
    <col min="54" max="54" width="17.28515625" style="1" hidden="1" customWidth="1"/>
    <col min="55" max="59" width="11.7109375" style="1" hidden="1" customWidth="1"/>
    <col min="60" max="60" width="20.5703125" style="1" hidden="1" customWidth="1"/>
    <col min="61" max="61" width="9.140625" style="1" hidden="1" customWidth="1"/>
    <col min="62" max="62" width="17.28515625" style="1" hidden="1" customWidth="1"/>
    <col min="63" max="65" width="13.7109375" style="1" hidden="1" customWidth="1"/>
    <col min="66" max="66" width="18.7109375" style="1" hidden="1" customWidth="1"/>
    <col min="67" max="67" width="9.140625" style="1" hidden="1" customWidth="1"/>
    <col min="68" max="68" width="7.28515625" style="1" customWidth="1"/>
    <col min="69" max="69" width="18.7109375" style="1" customWidth="1"/>
    <col min="70" max="70" width="12.42578125" style="1" customWidth="1"/>
    <col min="71" max="71" width="11.5703125" style="1" customWidth="1"/>
    <col min="72" max="72" width="10.5703125" style="1" customWidth="1"/>
    <col min="73" max="73" width="11" style="1" customWidth="1"/>
    <col min="74" max="74" width="11.85546875" style="1" customWidth="1"/>
    <col min="75" max="75" width="11.5703125" style="1" customWidth="1"/>
    <col min="76" max="76" width="10.7109375" style="1" customWidth="1"/>
    <col min="77" max="77" width="11.85546875" style="1" customWidth="1"/>
    <col min="78" max="78" width="18.28515625" style="1" customWidth="1"/>
    <col min="79" max="79" width="9.7109375" style="1" customWidth="1"/>
    <col min="80" max="80" width="18.140625" style="1" customWidth="1"/>
    <col min="81" max="81" width="11" style="1" customWidth="1"/>
    <col min="82" max="83" width="9.140625" style="1"/>
    <col min="84" max="84" width="10.28515625" style="1" customWidth="1"/>
    <col min="85" max="85" width="10.85546875" style="1" customWidth="1"/>
    <col min="86" max="86" width="12.42578125" style="1" customWidth="1"/>
    <col min="87" max="87" width="13.28515625" style="1" customWidth="1"/>
    <col min="88" max="88" width="18.7109375" style="1" customWidth="1"/>
    <col min="89" max="89" width="9.140625" style="1"/>
    <col min="90" max="90" width="10.140625" style="1" bestFit="1" customWidth="1"/>
    <col min="91" max="16384" width="9.140625" style="1"/>
  </cols>
  <sheetData>
    <row r="1" spans="1:90" s="7" customFormat="1" ht="19.5" customHeight="1" thickTop="1">
      <c r="A1" s="2192" t="s">
        <v>1477</v>
      </c>
      <c r="B1" s="2192"/>
      <c r="C1" s="2192"/>
      <c r="D1" s="2192"/>
      <c r="E1" s="2192"/>
      <c r="F1" s="2192"/>
      <c r="G1" s="2192"/>
      <c r="H1" s="2192"/>
      <c r="I1" s="2192"/>
      <c r="J1" s="2192" t="s">
        <v>1477</v>
      </c>
      <c r="K1" s="2192"/>
      <c r="L1" s="2192"/>
      <c r="M1" s="2192"/>
      <c r="N1" s="2192"/>
      <c r="O1" s="2192"/>
      <c r="P1" s="2192"/>
      <c r="Q1" s="2192"/>
      <c r="R1" s="2192"/>
      <c r="S1" s="2192"/>
      <c r="T1" s="2192" t="s">
        <v>1477</v>
      </c>
      <c r="U1" s="2192"/>
      <c r="V1" s="2192"/>
      <c r="W1" s="2192"/>
      <c r="X1" s="2192"/>
      <c r="Y1" s="2192"/>
      <c r="Z1" s="2192"/>
      <c r="AA1" s="2192"/>
      <c r="AB1" s="2192" t="s">
        <v>1477</v>
      </c>
      <c r="AC1" s="2192"/>
      <c r="AD1" s="2192"/>
      <c r="AE1" s="2192"/>
      <c r="AF1" s="2192"/>
      <c r="AG1" s="2192"/>
      <c r="AH1" s="2192" t="s">
        <v>1476</v>
      </c>
      <c r="AI1" s="2192"/>
      <c r="AJ1" s="2192"/>
      <c r="AK1" s="2192"/>
      <c r="AL1" s="2192"/>
      <c r="AM1" s="2192"/>
      <c r="AN1" s="2192"/>
      <c r="AO1" s="2192"/>
      <c r="AP1" s="2192"/>
      <c r="AQ1" s="2192" t="s">
        <v>1476</v>
      </c>
      <c r="AR1" s="2192"/>
      <c r="AS1" s="2192"/>
      <c r="AT1" s="2192"/>
      <c r="AU1" s="2192"/>
      <c r="AV1" s="2192"/>
      <c r="AW1" s="2192"/>
      <c r="AX1" s="2192"/>
      <c r="AY1" s="2192"/>
      <c r="AZ1" s="2192"/>
      <c r="BA1" s="2192" t="s">
        <v>1476</v>
      </c>
      <c r="BB1" s="2192"/>
      <c r="BC1" s="2192"/>
      <c r="BD1" s="2192"/>
      <c r="BE1" s="2192"/>
      <c r="BF1" s="2192"/>
      <c r="BG1" s="2192"/>
      <c r="BH1" s="2192"/>
      <c r="BI1" s="2192" t="s">
        <v>1476</v>
      </c>
      <c r="BJ1" s="2192"/>
      <c r="BK1" s="2192"/>
      <c r="BL1" s="2192"/>
      <c r="BM1" s="2192"/>
      <c r="BN1" s="2192"/>
      <c r="BP1" s="2176" t="s">
        <v>2761</v>
      </c>
      <c r="BQ1" s="2177"/>
      <c r="BR1" s="2177"/>
      <c r="BS1" s="2177"/>
      <c r="BT1" s="2177"/>
      <c r="BU1" s="2177"/>
      <c r="BV1" s="2177"/>
      <c r="BW1" s="2177"/>
      <c r="BX1" s="2177"/>
      <c r="BY1" s="2177"/>
      <c r="BZ1" s="2178"/>
      <c r="CA1" s="2180" t="s">
        <v>2761</v>
      </c>
      <c r="CB1" s="2180"/>
      <c r="CC1" s="2180"/>
      <c r="CD1" s="2180"/>
      <c r="CE1" s="2180"/>
      <c r="CF1" s="2180"/>
      <c r="CG1" s="2180"/>
      <c r="CH1" s="2180"/>
      <c r="CI1" s="2180"/>
      <c r="CJ1" s="2180"/>
    </row>
    <row r="2" spans="1:90" s="7" customFormat="1" ht="19.5" customHeight="1">
      <c r="A2" s="2193" t="s">
        <v>1475</v>
      </c>
      <c r="B2" s="2193"/>
      <c r="C2" s="2193"/>
      <c r="D2" s="2193"/>
      <c r="E2" s="2193"/>
      <c r="F2" s="2193"/>
      <c r="G2" s="2193"/>
      <c r="H2" s="2193"/>
      <c r="I2" s="2193"/>
      <c r="J2" s="2193" t="s">
        <v>1475</v>
      </c>
      <c r="K2" s="2193"/>
      <c r="L2" s="2193"/>
      <c r="M2" s="2193"/>
      <c r="N2" s="2193"/>
      <c r="O2" s="2193"/>
      <c r="P2" s="2193"/>
      <c r="Q2" s="2193"/>
      <c r="R2" s="2193"/>
      <c r="S2" s="2193"/>
      <c r="T2" s="2193" t="s">
        <v>1475</v>
      </c>
      <c r="U2" s="2193"/>
      <c r="V2" s="2193"/>
      <c r="W2" s="2193"/>
      <c r="X2" s="2193"/>
      <c r="Y2" s="2193"/>
      <c r="Z2" s="2193"/>
      <c r="AA2" s="2193"/>
      <c r="AB2" s="2193" t="s">
        <v>1475</v>
      </c>
      <c r="AC2" s="2193"/>
      <c r="AD2" s="2193"/>
      <c r="AE2" s="2193"/>
      <c r="AF2" s="2193"/>
      <c r="AG2" s="2193"/>
      <c r="AH2" s="2193" t="s">
        <v>1473</v>
      </c>
      <c r="AI2" s="2193"/>
      <c r="AJ2" s="2193"/>
      <c r="AK2" s="2193"/>
      <c r="AL2" s="2193"/>
      <c r="AM2" s="2193"/>
      <c r="AN2" s="2193"/>
      <c r="AO2" s="2193"/>
      <c r="AP2" s="2193"/>
      <c r="AQ2" s="2193" t="s">
        <v>1474</v>
      </c>
      <c r="AR2" s="2193"/>
      <c r="AS2" s="2193"/>
      <c r="AT2" s="2193"/>
      <c r="AU2" s="2193"/>
      <c r="AV2" s="2193"/>
      <c r="AW2" s="2193"/>
      <c r="AX2" s="2193"/>
      <c r="AY2" s="2193"/>
      <c r="AZ2" s="2193"/>
      <c r="BA2" s="2193" t="s">
        <v>1474</v>
      </c>
      <c r="BB2" s="2193"/>
      <c r="BC2" s="2193"/>
      <c r="BD2" s="2193"/>
      <c r="BE2" s="2193"/>
      <c r="BF2" s="2193"/>
      <c r="BG2" s="2193"/>
      <c r="BH2" s="2193"/>
      <c r="BI2" s="2193" t="s">
        <v>1473</v>
      </c>
      <c r="BJ2" s="2193"/>
      <c r="BK2" s="2193"/>
      <c r="BL2" s="2193"/>
      <c r="BM2" s="2193"/>
      <c r="BN2" s="2193"/>
      <c r="BP2" s="2200" t="s">
        <v>2762</v>
      </c>
      <c r="BQ2" s="2201"/>
      <c r="BR2" s="2201"/>
      <c r="BS2" s="2201"/>
      <c r="BT2" s="2201"/>
      <c r="BU2" s="2201"/>
      <c r="BV2" s="2201"/>
      <c r="BW2" s="2201"/>
      <c r="BX2" s="2201"/>
      <c r="BY2" s="2201"/>
      <c r="BZ2" s="2202"/>
      <c r="CA2" s="2180" t="s">
        <v>2762</v>
      </c>
      <c r="CB2" s="2180"/>
      <c r="CC2" s="2180"/>
      <c r="CD2" s="2180"/>
      <c r="CE2" s="2180"/>
      <c r="CF2" s="2180"/>
      <c r="CG2" s="2180"/>
      <c r="CH2" s="2180"/>
      <c r="CI2" s="2180"/>
      <c r="CJ2" s="2180"/>
    </row>
    <row r="3" spans="1:90" s="7" customFormat="1" ht="19.5" customHeight="1">
      <c r="A3" s="66"/>
      <c r="B3" s="66"/>
      <c r="C3" s="66"/>
      <c r="D3" s="66"/>
      <c r="E3" s="66"/>
      <c r="F3" s="66"/>
      <c r="G3" s="2185" t="s">
        <v>1472</v>
      </c>
      <c r="H3" s="2185"/>
      <c r="I3" s="2185"/>
      <c r="J3" s="765"/>
      <c r="K3" s="765"/>
      <c r="L3" s="765"/>
      <c r="M3" s="765"/>
      <c r="N3" s="765"/>
      <c r="O3" s="765"/>
      <c r="P3" s="765"/>
      <c r="Q3" s="2185" t="s">
        <v>1472</v>
      </c>
      <c r="R3" s="2185"/>
      <c r="S3" s="2185"/>
      <c r="T3" s="66"/>
      <c r="U3" s="766"/>
      <c r="V3" s="66"/>
      <c r="W3" s="765"/>
      <c r="X3" s="765"/>
      <c r="Y3" s="2185" t="s">
        <v>1472</v>
      </c>
      <c r="Z3" s="2185"/>
      <c r="AA3" s="2185"/>
      <c r="AB3" s="66"/>
      <c r="AC3" s="766"/>
      <c r="AD3" s="66"/>
      <c r="AE3" s="765"/>
      <c r="AF3" s="2185" t="s">
        <v>1472</v>
      </c>
      <c r="AG3" s="2185"/>
      <c r="AH3" s="66"/>
      <c r="AI3" s="66"/>
      <c r="AJ3" s="66" t="s">
        <v>1471</v>
      </c>
      <c r="AK3" s="66"/>
      <c r="AL3" s="66"/>
      <c r="AN3" s="767"/>
      <c r="AO3" s="767" t="s">
        <v>1470</v>
      </c>
      <c r="AQ3" s="765"/>
      <c r="AR3" s="765"/>
      <c r="AS3" s="765"/>
      <c r="AT3" s="66" t="s">
        <v>1471</v>
      </c>
      <c r="AU3" s="765"/>
      <c r="AV3" s="765"/>
      <c r="AX3" s="767" t="s">
        <v>1470</v>
      </c>
      <c r="AY3" s="767"/>
      <c r="AZ3" s="767"/>
      <c r="BA3" s="66"/>
      <c r="BB3" s="766"/>
      <c r="BC3" s="66" t="s">
        <v>1471</v>
      </c>
      <c r="BD3" s="765"/>
      <c r="BE3" s="765"/>
      <c r="BF3" s="2185" t="s">
        <v>1470</v>
      </c>
      <c r="BG3" s="2185"/>
      <c r="BH3" s="2185"/>
      <c r="BI3" s="66"/>
      <c r="BJ3" s="766"/>
      <c r="BK3" s="66" t="s">
        <v>1471</v>
      </c>
      <c r="BL3" s="765"/>
      <c r="BM3" s="2214" t="s">
        <v>1470</v>
      </c>
      <c r="BN3" s="2214"/>
      <c r="BP3" s="764"/>
      <c r="BQ3" s="763"/>
      <c r="BR3" s="763"/>
      <c r="BS3" s="2179" t="s">
        <v>1468</v>
      </c>
      <c r="BT3" s="2179"/>
      <c r="BU3" s="2179"/>
      <c r="BV3" s="2179"/>
      <c r="BW3" s="1804"/>
      <c r="BX3" s="762"/>
      <c r="BY3" s="761" t="s">
        <v>1469</v>
      </c>
      <c r="BZ3" s="1345"/>
      <c r="CA3" s="1795"/>
      <c r="CB3" s="1795"/>
      <c r="CE3" s="2179" t="s">
        <v>1468</v>
      </c>
      <c r="CF3" s="2179"/>
      <c r="CG3" s="2179"/>
      <c r="CI3" s="7" t="s">
        <v>1469</v>
      </c>
      <c r="CL3" s="75"/>
    </row>
    <row r="4" spans="1:90" s="756" customFormat="1" ht="60" customHeight="1">
      <c r="A4" s="1929" t="s">
        <v>1461</v>
      </c>
      <c r="B4" s="1929" t="s">
        <v>1445</v>
      </c>
      <c r="C4" s="1929" t="s">
        <v>1467</v>
      </c>
      <c r="D4" s="1929" t="s">
        <v>1466</v>
      </c>
      <c r="E4" s="1929" t="s">
        <v>1465</v>
      </c>
      <c r="F4" s="1929" t="s">
        <v>1464</v>
      </c>
      <c r="G4" s="1929"/>
      <c r="H4" s="1929"/>
      <c r="I4" s="1905" t="s">
        <v>1341</v>
      </c>
      <c r="J4" s="1929" t="s">
        <v>1461</v>
      </c>
      <c r="K4" s="1929" t="s">
        <v>1445</v>
      </c>
      <c r="L4" s="1929" t="s">
        <v>1463</v>
      </c>
      <c r="M4" s="1929"/>
      <c r="N4" s="1929"/>
      <c r="O4" s="1929"/>
      <c r="P4" s="1929" t="s">
        <v>1462</v>
      </c>
      <c r="Q4" s="1929"/>
      <c r="R4" s="1929"/>
      <c r="S4" s="1929" t="s">
        <v>1341</v>
      </c>
      <c r="T4" s="1929" t="s">
        <v>1461</v>
      </c>
      <c r="U4" s="1929" t="s">
        <v>1445</v>
      </c>
      <c r="V4" s="2186" t="s">
        <v>1460</v>
      </c>
      <c r="W4" s="2186" t="s">
        <v>1459</v>
      </c>
      <c r="X4" s="2186" t="s">
        <v>1458</v>
      </c>
      <c r="Y4" s="2190" t="s">
        <v>1457</v>
      </c>
      <c r="Z4" s="2186" t="s">
        <v>1456</v>
      </c>
      <c r="AA4" s="1905" t="s">
        <v>1341</v>
      </c>
      <c r="AB4" s="1929" t="s">
        <v>520</v>
      </c>
      <c r="AC4" s="1929" t="s">
        <v>1445</v>
      </c>
      <c r="AD4" s="1929" t="s">
        <v>1455</v>
      </c>
      <c r="AE4" s="1929" t="s">
        <v>1454</v>
      </c>
      <c r="AF4" s="1929" t="s">
        <v>1453</v>
      </c>
      <c r="AG4" s="1929" t="s">
        <v>1341</v>
      </c>
      <c r="AH4" s="1929" t="s">
        <v>1461</v>
      </c>
      <c r="AI4" s="1929" t="s">
        <v>1445</v>
      </c>
      <c r="AJ4" s="1929" t="s">
        <v>1467</v>
      </c>
      <c r="AK4" s="1929" t="s">
        <v>1466</v>
      </c>
      <c r="AL4" s="1929" t="s">
        <v>1465</v>
      </c>
      <c r="AM4" s="1929" t="s">
        <v>1464</v>
      </c>
      <c r="AN4" s="1929"/>
      <c r="AO4" s="1929"/>
      <c r="AP4" s="1905" t="s">
        <v>1341</v>
      </c>
      <c r="AQ4" s="1929" t="s">
        <v>1461</v>
      </c>
      <c r="AR4" s="1929" t="s">
        <v>1445</v>
      </c>
      <c r="AS4" s="1929" t="s">
        <v>1463</v>
      </c>
      <c r="AT4" s="1929"/>
      <c r="AU4" s="1929"/>
      <c r="AV4" s="1929"/>
      <c r="AW4" s="1929" t="s">
        <v>1462</v>
      </c>
      <c r="AX4" s="1929"/>
      <c r="AY4" s="1929"/>
      <c r="AZ4" s="1929" t="s">
        <v>1341</v>
      </c>
      <c r="BA4" s="1929" t="s">
        <v>1461</v>
      </c>
      <c r="BB4" s="1929" t="s">
        <v>1445</v>
      </c>
      <c r="BC4" s="1929" t="s">
        <v>1460</v>
      </c>
      <c r="BD4" s="1929" t="s">
        <v>1459</v>
      </c>
      <c r="BE4" s="1929" t="s">
        <v>1458</v>
      </c>
      <c r="BF4" s="2212" t="s">
        <v>1457</v>
      </c>
      <c r="BG4" s="1929" t="s">
        <v>1456</v>
      </c>
      <c r="BH4" s="1905" t="s">
        <v>1341</v>
      </c>
      <c r="BI4" s="1929" t="s">
        <v>520</v>
      </c>
      <c r="BJ4" s="1929" t="s">
        <v>1445</v>
      </c>
      <c r="BK4" s="1929" t="s">
        <v>1455</v>
      </c>
      <c r="BL4" s="1929" t="s">
        <v>1454</v>
      </c>
      <c r="BM4" s="1929" t="s">
        <v>1453</v>
      </c>
      <c r="BN4" s="1929" t="s">
        <v>1341</v>
      </c>
      <c r="BO4" s="18"/>
      <c r="BP4" s="2205" t="s">
        <v>1446</v>
      </c>
      <c r="BQ4" s="2197" t="s">
        <v>1341</v>
      </c>
      <c r="BR4" s="2203" t="s">
        <v>1452</v>
      </c>
      <c r="BS4" s="2197" t="s">
        <v>1451</v>
      </c>
      <c r="BT4" s="2197"/>
      <c r="BU4" s="2197"/>
      <c r="BV4" s="2197" t="s">
        <v>1450</v>
      </c>
      <c r="BW4" s="2197"/>
      <c r="BX4" s="2197"/>
      <c r="BY4" s="2197"/>
      <c r="BZ4" s="2198" t="s">
        <v>1445</v>
      </c>
      <c r="CA4" s="2207" t="s">
        <v>1446</v>
      </c>
      <c r="CB4" s="2197" t="s">
        <v>1341</v>
      </c>
      <c r="CC4" s="2197" t="s">
        <v>1449</v>
      </c>
      <c r="CD4" s="2197"/>
      <c r="CE4" s="2197"/>
      <c r="CF4" s="2203" t="s">
        <v>1448</v>
      </c>
      <c r="CG4" s="2203" t="s">
        <v>1447</v>
      </c>
      <c r="CH4" s="2203" t="s">
        <v>2694</v>
      </c>
      <c r="CI4" s="2209" t="s">
        <v>2698</v>
      </c>
      <c r="CJ4" s="2197" t="s">
        <v>1445</v>
      </c>
    </row>
    <row r="5" spans="1:90" s="756" customFormat="1" ht="153" customHeight="1">
      <c r="A5" s="2188"/>
      <c r="B5" s="2188"/>
      <c r="C5" s="2189"/>
      <c r="D5" s="2189"/>
      <c r="E5" s="2189"/>
      <c r="F5" s="760" t="s">
        <v>1444</v>
      </c>
      <c r="G5" s="760" t="s">
        <v>1443</v>
      </c>
      <c r="H5" s="265" t="s">
        <v>1442</v>
      </c>
      <c r="I5" s="1906"/>
      <c r="J5" s="2188"/>
      <c r="K5" s="2188"/>
      <c r="L5" s="265" t="s">
        <v>1441</v>
      </c>
      <c r="M5" s="759" t="s">
        <v>1440</v>
      </c>
      <c r="N5" s="265" t="s">
        <v>1439</v>
      </c>
      <c r="O5" s="265" t="s">
        <v>1438</v>
      </c>
      <c r="P5" s="265" t="s">
        <v>1437</v>
      </c>
      <c r="Q5" s="265" t="s">
        <v>1436</v>
      </c>
      <c r="R5" s="265" t="s">
        <v>1435</v>
      </c>
      <c r="S5" s="1929"/>
      <c r="T5" s="2188"/>
      <c r="U5" s="2188"/>
      <c r="V5" s="2187"/>
      <c r="W5" s="2187"/>
      <c r="X5" s="2187"/>
      <c r="Y5" s="2191"/>
      <c r="Z5" s="2187"/>
      <c r="AA5" s="1906"/>
      <c r="AB5" s="2188"/>
      <c r="AC5" s="2188"/>
      <c r="AD5" s="2189"/>
      <c r="AE5" s="2189"/>
      <c r="AF5" s="2189"/>
      <c r="AG5" s="2188"/>
      <c r="AH5" s="2188"/>
      <c r="AI5" s="2188"/>
      <c r="AJ5" s="2189"/>
      <c r="AK5" s="2189"/>
      <c r="AL5" s="2189"/>
      <c r="AM5" s="758" t="s">
        <v>1444</v>
      </c>
      <c r="AN5" s="758" t="s">
        <v>1443</v>
      </c>
      <c r="AO5" s="79" t="s">
        <v>1442</v>
      </c>
      <c r="AP5" s="1906"/>
      <c r="AQ5" s="2188"/>
      <c r="AR5" s="2188"/>
      <c r="AS5" s="79" t="s">
        <v>1441</v>
      </c>
      <c r="AT5" s="757" t="s">
        <v>1440</v>
      </c>
      <c r="AU5" s="79" t="s">
        <v>1439</v>
      </c>
      <c r="AV5" s="79" t="s">
        <v>1438</v>
      </c>
      <c r="AW5" s="79" t="s">
        <v>1437</v>
      </c>
      <c r="AX5" s="79" t="s">
        <v>1436</v>
      </c>
      <c r="AY5" s="79" t="s">
        <v>1435</v>
      </c>
      <c r="AZ5" s="1929"/>
      <c r="BA5" s="2188"/>
      <c r="BB5" s="2188"/>
      <c r="BC5" s="2189"/>
      <c r="BD5" s="2189"/>
      <c r="BE5" s="2189"/>
      <c r="BF5" s="2213"/>
      <c r="BG5" s="2189"/>
      <c r="BH5" s="1906"/>
      <c r="BI5" s="2188"/>
      <c r="BJ5" s="2188"/>
      <c r="BK5" s="2189"/>
      <c r="BL5" s="2189"/>
      <c r="BM5" s="2189"/>
      <c r="BN5" s="2188"/>
      <c r="BO5" s="18"/>
      <c r="BP5" s="2206"/>
      <c r="BQ5" s="2197"/>
      <c r="BR5" s="2204"/>
      <c r="BS5" s="1508" t="s">
        <v>1434</v>
      </c>
      <c r="BT5" s="1508" t="s">
        <v>1433</v>
      </c>
      <c r="BU5" s="1562" t="s">
        <v>2696</v>
      </c>
      <c r="BV5" s="1562" t="s">
        <v>1432</v>
      </c>
      <c r="BW5" s="1509" t="s">
        <v>1431</v>
      </c>
      <c r="BX5" s="1562" t="s">
        <v>1430</v>
      </c>
      <c r="BY5" s="1562" t="s">
        <v>2697</v>
      </c>
      <c r="BZ5" s="2199"/>
      <c r="CA5" s="2208"/>
      <c r="CB5" s="2197"/>
      <c r="CC5" s="1562" t="s">
        <v>1429</v>
      </c>
      <c r="CD5" s="1562" t="s">
        <v>1428</v>
      </c>
      <c r="CE5" s="1562" t="s">
        <v>2695</v>
      </c>
      <c r="CF5" s="2204"/>
      <c r="CG5" s="2204"/>
      <c r="CH5" s="2204"/>
      <c r="CI5" s="2210"/>
      <c r="CJ5" s="2211"/>
    </row>
    <row r="6" spans="1:90" s="753" customFormat="1" ht="15.75" customHeight="1">
      <c r="A6" s="80">
        <v>1</v>
      </c>
      <c r="B6" s="80">
        <v>2</v>
      </c>
      <c r="C6" s="79">
        <v>3</v>
      </c>
      <c r="D6" s="79">
        <v>4</v>
      </c>
      <c r="E6" s="79">
        <v>5</v>
      </c>
      <c r="F6" s="79">
        <v>6</v>
      </c>
      <c r="G6" s="79">
        <v>7</v>
      </c>
      <c r="H6" s="79">
        <v>8</v>
      </c>
      <c r="I6" s="80">
        <v>2</v>
      </c>
      <c r="J6" s="80">
        <v>1</v>
      </c>
      <c r="K6" s="80">
        <v>2</v>
      </c>
      <c r="L6" s="79">
        <v>9</v>
      </c>
      <c r="M6" s="79">
        <v>10</v>
      </c>
      <c r="N6" s="79">
        <v>11</v>
      </c>
      <c r="O6" s="79">
        <v>12</v>
      </c>
      <c r="P6" s="79">
        <v>13</v>
      </c>
      <c r="Q6" s="79">
        <v>14</v>
      </c>
      <c r="R6" s="79">
        <v>15</v>
      </c>
      <c r="S6" s="80">
        <v>3</v>
      </c>
      <c r="T6" s="80">
        <v>1</v>
      </c>
      <c r="U6" s="80">
        <v>2</v>
      </c>
      <c r="V6" s="79">
        <v>16</v>
      </c>
      <c r="W6" s="79">
        <v>17</v>
      </c>
      <c r="X6" s="79">
        <v>18</v>
      </c>
      <c r="Y6" s="755">
        <v>19</v>
      </c>
      <c r="Z6" s="79">
        <v>20</v>
      </c>
      <c r="AA6" s="80">
        <v>3</v>
      </c>
      <c r="AB6" s="80">
        <v>1</v>
      </c>
      <c r="AC6" s="80">
        <v>2</v>
      </c>
      <c r="AD6" s="79">
        <v>21</v>
      </c>
      <c r="AE6" s="79">
        <v>22</v>
      </c>
      <c r="AF6" s="79">
        <v>23</v>
      </c>
      <c r="AG6" s="80">
        <v>3</v>
      </c>
      <c r="AH6" s="80">
        <v>1</v>
      </c>
      <c r="AI6" s="80">
        <v>2</v>
      </c>
      <c r="AJ6" s="79">
        <v>3</v>
      </c>
      <c r="AK6" s="79">
        <v>4</v>
      </c>
      <c r="AL6" s="79">
        <v>5</v>
      </c>
      <c r="AM6" s="79">
        <v>6</v>
      </c>
      <c r="AN6" s="79">
        <v>7</v>
      </c>
      <c r="AO6" s="79">
        <v>8</v>
      </c>
      <c r="AP6" s="80">
        <v>2</v>
      </c>
      <c r="AQ6" s="80">
        <v>1</v>
      </c>
      <c r="AR6" s="80">
        <v>2</v>
      </c>
      <c r="AS6" s="79">
        <v>9</v>
      </c>
      <c r="AT6" s="79">
        <v>10</v>
      </c>
      <c r="AU6" s="79">
        <v>11</v>
      </c>
      <c r="AV6" s="79">
        <v>12</v>
      </c>
      <c r="AW6" s="79">
        <v>13</v>
      </c>
      <c r="AX6" s="79">
        <v>14</v>
      </c>
      <c r="AY6" s="79">
        <v>15</v>
      </c>
      <c r="AZ6" s="80">
        <v>3</v>
      </c>
      <c r="BA6" s="80">
        <v>1</v>
      </c>
      <c r="BB6" s="80">
        <v>2</v>
      </c>
      <c r="BC6" s="79">
        <v>16</v>
      </c>
      <c r="BD6" s="79">
        <v>17</v>
      </c>
      <c r="BE6" s="79">
        <v>18</v>
      </c>
      <c r="BF6" s="755">
        <v>19</v>
      </c>
      <c r="BG6" s="79">
        <v>20</v>
      </c>
      <c r="BH6" s="80">
        <v>3</v>
      </c>
      <c r="BI6" s="80">
        <v>1</v>
      </c>
      <c r="BJ6" s="80">
        <v>2</v>
      </c>
      <c r="BK6" s="79">
        <v>21</v>
      </c>
      <c r="BL6" s="79">
        <v>22</v>
      </c>
      <c r="BM6" s="79">
        <v>23</v>
      </c>
      <c r="BN6" s="80">
        <v>3</v>
      </c>
      <c r="BO6" s="754"/>
      <c r="BP6" s="1510">
        <v>1</v>
      </c>
      <c r="BQ6" s="1511">
        <v>2</v>
      </c>
      <c r="BR6" s="1563">
        <v>3</v>
      </c>
      <c r="BS6" s="1563">
        <v>4</v>
      </c>
      <c r="BT6" s="1563">
        <v>5</v>
      </c>
      <c r="BU6" s="1563">
        <v>6</v>
      </c>
      <c r="BV6" s="1563">
        <v>7</v>
      </c>
      <c r="BW6" s="1563">
        <v>8</v>
      </c>
      <c r="BX6" s="1563">
        <v>9</v>
      </c>
      <c r="BY6" s="1563">
        <v>10</v>
      </c>
      <c r="BZ6" s="1512">
        <v>2</v>
      </c>
      <c r="CA6" s="1805">
        <v>1</v>
      </c>
      <c r="CB6" s="1511">
        <v>2</v>
      </c>
      <c r="CC6" s="1563">
        <v>11</v>
      </c>
      <c r="CD6" s="1563">
        <v>12</v>
      </c>
      <c r="CE6" s="1563">
        <v>13</v>
      </c>
      <c r="CF6" s="1563">
        <v>14</v>
      </c>
      <c r="CG6" s="1563">
        <v>15</v>
      </c>
      <c r="CH6" s="1563">
        <v>16</v>
      </c>
      <c r="CI6" s="1513">
        <v>17</v>
      </c>
      <c r="CJ6" s="1511">
        <v>2</v>
      </c>
    </row>
    <row r="7" spans="1:90" s="41" customFormat="1" ht="17.100000000000001" customHeight="1">
      <c r="A7" s="742">
        <v>1</v>
      </c>
      <c r="B7" s="741" t="s">
        <v>14</v>
      </c>
      <c r="C7" s="752">
        <v>16276</v>
      </c>
      <c r="D7" s="751">
        <v>16296.69</v>
      </c>
      <c r="E7" s="750">
        <v>3688.4609999999998</v>
      </c>
      <c r="F7" s="750">
        <v>2031.758</v>
      </c>
      <c r="G7" s="750">
        <v>1346.606</v>
      </c>
      <c r="H7" s="751">
        <f t="shared" ref="H7:H42" si="0">F7+G7</f>
        <v>3378.364</v>
      </c>
      <c r="I7" s="741" t="s">
        <v>144</v>
      </c>
      <c r="J7" s="742">
        <v>1</v>
      </c>
      <c r="K7" s="741" t="s">
        <v>14</v>
      </c>
      <c r="L7" s="750">
        <v>211.554</v>
      </c>
      <c r="M7" s="750">
        <v>157.07300000000001</v>
      </c>
      <c r="N7" s="750">
        <v>410.34899999999999</v>
      </c>
      <c r="O7" s="751">
        <f t="shared" ref="O7:O42" si="1">L7+M7+N7</f>
        <v>778.976</v>
      </c>
      <c r="P7" s="750">
        <v>832.19600000000003</v>
      </c>
      <c r="Q7" s="750">
        <v>1410.0909999999999</v>
      </c>
      <c r="R7" s="751">
        <f t="shared" ref="R7:R42" si="2">P7+Q7</f>
        <v>2242.2869999999998</v>
      </c>
      <c r="S7" s="741" t="s">
        <v>144</v>
      </c>
      <c r="T7" s="742">
        <v>1</v>
      </c>
      <c r="U7" s="741" t="s">
        <v>14</v>
      </c>
      <c r="V7" s="750">
        <v>6208.6019999999999</v>
      </c>
      <c r="W7" s="750">
        <v>7531.5869999999995</v>
      </c>
      <c r="X7" s="750">
        <f t="shared" ref="X7:X42" si="3">W7-V7</f>
        <v>1322.9849999999997</v>
      </c>
      <c r="Y7" s="749">
        <f t="shared" ref="Y7:Y42" si="4">W7/V7*100</f>
        <v>121.30890335698761</v>
      </c>
      <c r="Z7" s="748">
        <f t="shared" ref="Z7:Z42" si="5">M7+N7+R7+V7</f>
        <v>9018.3109999999997</v>
      </c>
      <c r="AA7" s="741" t="s">
        <v>144</v>
      </c>
      <c r="AB7" s="742">
        <v>1</v>
      </c>
      <c r="AC7" s="741" t="s">
        <v>14</v>
      </c>
      <c r="AD7" s="748">
        <f t="shared" ref="AD7:AD42" si="6">Q7+V7</f>
        <v>7618.6929999999993</v>
      </c>
      <c r="AE7" s="748">
        <f t="shared" ref="AE7:AE42" si="7">D7-Z7</f>
        <v>7278.3790000000008</v>
      </c>
      <c r="AF7" s="748">
        <f t="shared" ref="AF7:AF42" si="8">D7-AD7</f>
        <v>8677.9970000000012</v>
      </c>
      <c r="AG7" s="741" t="s">
        <v>144</v>
      </c>
      <c r="AH7" s="742">
        <v>1</v>
      </c>
      <c r="AI7" s="741" t="s">
        <v>14</v>
      </c>
      <c r="AJ7" s="747" t="s">
        <v>1427</v>
      </c>
      <c r="AK7" s="746">
        <v>16296.689999999999</v>
      </c>
      <c r="AL7" s="746">
        <v>3688.4609999999998</v>
      </c>
      <c r="AM7" s="744">
        <v>2048.27</v>
      </c>
      <c r="AN7" s="744">
        <v>1345.8820000000001</v>
      </c>
      <c r="AO7" s="745">
        <v>3394.152</v>
      </c>
      <c r="AP7" s="741" t="s">
        <v>144</v>
      </c>
      <c r="AQ7" s="742">
        <v>1</v>
      </c>
      <c r="AR7" s="741" t="s">
        <v>14</v>
      </c>
      <c r="AS7" s="744">
        <v>211.08</v>
      </c>
      <c r="AT7" s="744">
        <v>156.32499999999999</v>
      </c>
      <c r="AU7" s="744">
        <v>413.54199999999997</v>
      </c>
      <c r="AV7" s="745">
        <v>780.94699999999989</v>
      </c>
      <c r="AW7" s="744">
        <v>860.08</v>
      </c>
      <c r="AX7" s="744">
        <v>1496.001</v>
      </c>
      <c r="AY7" s="745">
        <v>2356.0810000000001</v>
      </c>
      <c r="AZ7" s="24" t="s">
        <v>144</v>
      </c>
      <c r="BA7" s="742">
        <v>1</v>
      </c>
      <c r="BB7" s="741" t="s">
        <v>14</v>
      </c>
      <c r="BC7" s="744">
        <v>6077.049</v>
      </c>
      <c r="BD7" s="744">
        <v>7418.0569999999989</v>
      </c>
      <c r="BE7" s="744">
        <v>1341.0079999999989</v>
      </c>
      <c r="BF7" s="743">
        <f t="shared" ref="BF7:BF42" si="9">BD7/BC7*100</f>
        <v>122.06676299631611</v>
      </c>
      <c r="BG7" s="740">
        <f t="shared" ref="BG7:BG42" si="10">AT7+AU7+AY7+BC7</f>
        <v>9002.9969999999994</v>
      </c>
      <c r="BH7" s="24" t="s">
        <v>144</v>
      </c>
      <c r="BI7" s="742">
        <v>1</v>
      </c>
      <c r="BJ7" s="741" t="s">
        <v>14</v>
      </c>
      <c r="BK7" s="740">
        <v>7573.05</v>
      </c>
      <c r="BL7" s="740">
        <v>7293.6929999999993</v>
      </c>
      <c r="BM7" s="740">
        <v>8723.64</v>
      </c>
      <c r="BN7" s="24" t="s">
        <v>144</v>
      </c>
      <c r="BP7" s="1693">
        <v>1</v>
      </c>
      <c r="BQ7" s="1690" t="s">
        <v>144</v>
      </c>
      <c r="BR7" s="1691">
        <v>3688.4609999999998</v>
      </c>
      <c r="BS7" s="1691">
        <v>2057.7710000000002</v>
      </c>
      <c r="BT7" s="1691">
        <v>1344.681</v>
      </c>
      <c r="BU7" s="1691">
        <f>BS7+BT7</f>
        <v>3402.4520000000002</v>
      </c>
      <c r="BV7" s="1694">
        <v>208.35400000000001</v>
      </c>
      <c r="BW7" s="1694">
        <v>154.64500000000001</v>
      </c>
      <c r="BX7" s="1694">
        <v>411.50299999999999</v>
      </c>
      <c r="BY7" s="1694">
        <f>SUM(BV7:BX7)</f>
        <v>774.50199999999995</v>
      </c>
      <c r="BZ7" s="1692" t="s">
        <v>14</v>
      </c>
      <c r="CA7" s="1806">
        <v>1</v>
      </c>
      <c r="CB7" s="1690" t="s">
        <v>144</v>
      </c>
      <c r="CC7" s="1694">
        <v>936.40700000000004</v>
      </c>
      <c r="CD7" s="1694">
        <v>1446.3389999999999</v>
      </c>
      <c r="CE7" s="1694">
        <f>CC7+CD7</f>
        <v>2382.7460000000001</v>
      </c>
      <c r="CF7" s="1694">
        <v>6048.5290000000005</v>
      </c>
      <c r="CG7" s="1694">
        <v>7296.6290000000008</v>
      </c>
      <c r="CH7" s="1694">
        <f>CG7-CF7</f>
        <v>1248.1000000000004</v>
      </c>
      <c r="CI7" s="1695">
        <f>CG7/CF7*100</f>
        <v>120.63476921413454</v>
      </c>
      <c r="CJ7" s="1690" t="s">
        <v>14</v>
      </c>
      <c r="CL7" s="1813"/>
    </row>
    <row r="8" spans="1:90" s="7" customFormat="1" ht="17.100000000000001" customHeight="1">
      <c r="A8" s="91">
        <v>2</v>
      </c>
      <c r="B8" s="5" t="s">
        <v>15</v>
      </c>
      <c r="C8" s="5">
        <v>8374</v>
      </c>
      <c r="D8" s="739">
        <v>7227.9409999999998</v>
      </c>
      <c r="E8" s="738">
        <v>0</v>
      </c>
      <c r="F8" s="738">
        <v>24.61</v>
      </c>
      <c r="G8" s="738">
        <v>37.369</v>
      </c>
      <c r="H8" s="739">
        <f t="shared" si="0"/>
        <v>61.978999999999999</v>
      </c>
      <c r="I8" s="5" t="s">
        <v>145</v>
      </c>
      <c r="J8" s="91">
        <v>2</v>
      </c>
      <c r="K8" s="5" t="s">
        <v>15</v>
      </c>
      <c r="L8" s="738">
        <v>17.817</v>
      </c>
      <c r="M8" s="738">
        <v>34.655000000000001</v>
      </c>
      <c r="N8" s="738">
        <v>62.017000000000003</v>
      </c>
      <c r="O8" s="739">
        <f t="shared" si="1"/>
        <v>114.489</v>
      </c>
      <c r="P8" s="738">
        <v>64.236999999999995</v>
      </c>
      <c r="Q8" s="738">
        <v>35.936</v>
      </c>
      <c r="R8" s="739">
        <f t="shared" si="2"/>
        <v>100.173</v>
      </c>
      <c r="S8" s="5" t="s">
        <v>145</v>
      </c>
      <c r="T8" s="91">
        <v>2</v>
      </c>
      <c r="U8" s="5" t="s">
        <v>15</v>
      </c>
      <c r="V8" s="738">
        <v>226.5</v>
      </c>
      <c r="W8" s="738">
        <v>301.11200000000002</v>
      </c>
      <c r="X8" s="738">
        <f t="shared" si="3"/>
        <v>74.612000000000023</v>
      </c>
      <c r="Y8" s="737">
        <f t="shared" si="4"/>
        <v>132.94128035320091</v>
      </c>
      <c r="Z8" s="736">
        <f t="shared" si="5"/>
        <v>423.34500000000003</v>
      </c>
      <c r="AA8" s="5" t="s">
        <v>145</v>
      </c>
      <c r="AB8" s="91">
        <v>2</v>
      </c>
      <c r="AC8" s="5" t="s">
        <v>15</v>
      </c>
      <c r="AD8" s="736">
        <f t="shared" si="6"/>
        <v>262.43599999999998</v>
      </c>
      <c r="AE8" s="736">
        <f t="shared" si="7"/>
        <v>6804.5959999999995</v>
      </c>
      <c r="AF8" s="736">
        <f t="shared" si="8"/>
        <v>6965.5050000000001</v>
      </c>
      <c r="AG8" s="5" t="s">
        <v>145</v>
      </c>
      <c r="AH8" s="91">
        <v>2</v>
      </c>
      <c r="AI8" s="5" t="s">
        <v>15</v>
      </c>
      <c r="AJ8" s="734">
        <v>8374</v>
      </c>
      <c r="AK8" s="734">
        <v>7227.9409999999998</v>
      </c>
      <c r="AL8" s="734" t="s">
        <v>1426</v>
      </c>
      <c r="AM8" s="116">
        <v>24.61</v>
      </c>
      <c r="AN8" s="116">
        <v>37.369</v>
      </c>
      <c r="AO8" s="117">
        <v>61.978999999999999</v>
      </c>
      <c r="AP8" s="5" t="s">
        <v>145</v>
      </c>
      <c r="AQ8" s="91">
        <v>2</v>
      </c>
      <c r="AR8" s="5" t="s">
        <v>15</v>
      </c>
      <c r="AS8" s="116">
        <v>17.817</v>
      </c>
      <c r="AT8" s="116">
        <v>34.655000000000001</v>
      </c>
      <c r="AU8" s="116">
        <v>61.017000000000003</v>
      </c>
      <c r="AV8" s="117">
        <v>113.489</v>
      </c>
      <c r="AW8" s="116">
        <v>62.237000000000002</v>
      </c>
      <c r="AX8" s="116">
        <v>33.436</v>
      </c>
      <c r="AY8" s="117">
        <v>95.673000000000002</v>
      </c>
      <c r="AZ8" s="5" t="s">
        <v>145</v>
      </c>
      <c r="BA8" s="91">
        <v>2</v>
      </c>
      <c r="BB8" s="5" t="s">
        <v>15</v>
      </c>
      <c r="BC8" s="116">
        <v>232</v>
      </c>
      <c r="BD8" s="116">
        <v>313.2</v>
      </c>
      <c r="BE8" s="116">
        <v>81.199999999999989</v>
      </c>
      <c r="BF8" s="733">
        <f t="shared" si="9"/>
        <v>135</v>
      </c>
      <c r="BG8" s="732">
        <f t="shared" si="10"/>
        <v>423.34500000000003</v>
      </c>
      <c r="BH8" s="5" t="s">
        <v>145</v>
      </c>
      <c r="BI8" s="91">
        <v>2</v>
      </c>
      <c r="BJ8" s="5" t="s">
        <v>15</v>
      </c>
      <c r="BK8" s="732">
        <v>265.43599999999998</v>
      </c>
      <c r="BL8" s="732">
        <v>6804.5959999999995</v>
      </c>
      <c r="BM8" s="732">
        <v>6962.5050000000001</v>
      </c>
      <c r="BN8" s="5" t="s">
        <v>145</v>
      </c>
      <c r="BP8" s="1698">
        <v>2</v>
      </c>
      <c r="BQ8" s="1696" t="s">
        <v>145</v>
      </c>
      <c r="BR8" s="1691" t="s">
        <v>1425</v>
      </c>
      <c r="BS8" s="1691">
        <v>24.61</v>
      </c>
      <c r="BT8" s="1691">
        <v>37.369</v>
      </c>
      <c r="BU8" s="1691">
        <f t="shared" ref="BU8:BU42" si="11">BS8+BT8</f>
        <v>61.978999999999999</v>
      </c>
      <c r="BV8" s="1699">
        <v>17.817</v>
      </c>
      <c r="BW8" s="1699">
        <v>34.155000000000001</v>
      </c>
      <c r="BX8" s="1699">
        <v>61.017000000000003</v>
      </c>
      <c r="BY8" s="1694">
        <f t="shared" ref="BY8:BY42" si="12">SUM(BV8:BX8)</f>
        <v>112.989</v>
      </c>
      <c r="BZ8" s="1697" t="s">
        <v>15</v>
      </c>
      <c r="CA8" s="1807">
        <v>2</v>
      </c>
      <c r="CB8" s="1696" t="s">
        <v>145</v>
      </c>
      <c r="CC8" s="1699">
        <v>61.237000000000002</v>
      </c>
      <c r="CD8" s="1699">
        <v>33.436</v>
      </c>
      <c r="CE8" s="1694">
        <f t="shared" ref="CE8:CE42" si="13">CC8+CD8</f>
        <v>94.673000000000002</v>
      </c>
      <c r="CF8" s="1699">
        <v>234</v>
      </c>
      <c r="CG8" s="1699">
        <v>319.89500000000004</v>
      </c>
      <c r="CH8" s="1694">
        <f t="shared" ref="CH8:CH42" si="14">CG8-CF8</f>
        <v>85.895000000000039</v>
      </c>
      <c r="CI8" s="1695">
        <f t="shared" ref="CI8:CI42" si="15">CG8/CF8*100</f>
        <v>136.70726495726498</v>
      </c>
      <c r="CJ8" s="1696" t="s">
        <v>15</v>
      </c>
    </row>
    <row r="9" spans="1:90" s="7" customFormat="1" ht="17.100000000000001" customHeight="1">
      <c r="A9" s="91">
        <v>3</v>
      </c>
      <c r="B9" s="5" t="s">
        <v>21</v>
      </c>
      <c r="C9" s="5">
        <v>7844</v>
      </c>
      <c r="D9" s="739">
        <v>7843.8000000000011</v>
      </c>
      <c r="E9" s="738">
        <v>1852.6759999999999</v>
      </c>
      <c r="F9" s="738">
        <v>1281.913</v>
      </c>
      <c r="G9" s="738">
        <v>1199.6120000000001</v>
      </c>
      <c r="H9" s="739">
        <f t="shared" si="0"/>
        <v>2481.5250000000001</v>
      </c>
      <c r="I9" s="5" t="s">
        <v>146</v>
      </c>
      <c r="J9" s="91">
        <v>3</v>
      </c>
      <c r="K9" s="5" t="s">
        <v>21</v>
      </c>
      <c r="L9" s="738">
        <v>166.91900000000001</v>
      </c>
      <c r="M9" s="738">
        <v>221.578</v>
      </c>
      <c r="N9" s="738">
        <v>137.233</v>
      </c>
      <c r="O9" s="739">
        <f t="shared" si="1"/>
        <v>525.73</v>
      </c>
      <c r="P9" s="738">
        <v>88.335999999999999</v>
      </c>
      <c r="Q9" s="738">
        <v>94.061000000000007</v>
      </c>
      <c r="R9" s="739">
        <f t="shared" si="2"/>
        <v>182.39699999999999</v>
      </c>
      <c r="S9" s="5" t="s">
        <v>146</v>
      </c>
      <c r="T9" s="91">
        <v>3</v>
      </c>
      <c r="U9" s="5" t="s">
        <v>21</v>
      </c>
      <c r="V9" s="738">
        <v>2801.4720000000002</v>
      </c>
      <c r="W9" s="738">
        <v>4059.9339999999993</v>
      </c>
      <c r="X9" s="738">
        <f t="shared" si="3"/>
        <v>1258.4619999999991</v>
      </c>
      <c r="Y9" s="737">
        <f t="shared" si="4"/>
        <v>144.92145557763916</v>
      </c>
      <c r="Z9" s="736">
        <f t="shared" si="5"/>
        <v>3342.6800000000003</v>
      </c>
      <c r="AA9" s="5" t="s">
        <v>146</v>
      </c>
      <c r="AB9" s="91">
        <v>3</v>
      </c>
      <c r="AC9" s="5" t="s">
        <v>21</v>
      </c>
      <c r="AD9" s="736">
        <f t="shared" si="6"/>
        <v>2895.5330000000004</v>
      </c>
      <c r="AE9" s="736">
        <f t="shared" si="7"/>
        <v>4501.1200000000008</v>
      </c>
      <c r="AF9" s="736">
        <f t="shared" si="8"/>
        <v>4948.2670000000007</v>
      </c>
      <c r="AG9" s="5" t="s">
        <v>146</v>
      </c>
      <c r="AH9" s="91">
        <v>3</v>
      </c>
      <c r="AI9" s="5" t="s">
        <v>21</v>
      </c>
      <c r="AJ9" s="734">
        <v>7844</v>
      </c>
      <c r="AK9" s="734">
        <v>7843.7999999999993</v>
      </c>
      <c r="AL9" s="734">
        <v>1852.694</v>
      </c>
      <c r="AM9" s="116">
        <v>1293.212</v>
      </c>
      <c r="AN9" s="116">
        <v>1191.251</v>
      </c>
      <c r="AO9" s="117">
        <v>2484.4629999999997</v>
      </c>
      <c r="AP9" s="5" t="s">
        <v>146</v>
      </c>
      <c r="AQ9" s="91">
        <v>3</v>
      </c>
      <c r="AR9" s="5" t="s">
        <v>21</v>
      </c>
      <c r="AS9" s="116">
        <v>169.745</v>
      </c>
      <c r="AT9" s="116">
        <v>222.49</v>
      </c>
      <c r="AU9" s="116">
        <v>143.50899999999999</v>
      </c>
      <c r="AV9" s="117">
        <v>535.74400000000003</v>
      </c>
      <c r="AW9" s="116">
        <v>92.286000000000001</v>
      </c>
      <c r="AX9" s="116">
        <v>104.758</v>
      </c>
      <c r="AY9" s="117">
        <v>197.04399999999998</v>
      </c>
      <c r="AZ9" s="5" t="s">
        <v>146</v>
      </c>
      <c r="BA9" s="91">
        <v>3</v>
      </c>
      <c r="BB9" s="5" t="s">
        <v>21</v>
      </c>
      <c r="BC9" s="116">
        <v>2773.855</v>
      </c>
      <c r="BD9" s="116">
        <v>4087.4490000000005</v>
      </c>
      <c r="BE9" s="116">
        <v>1313.5940000000005</v>
      </c>
      <c r="BF9" s="733">
        <f t="shared" si="9"/>
        <v>147.35626051109378</v>
      </c>
      <c r="BG9" s="732">
        <f t="shared" si="10"/>
        <v>3336.8980000000001</v>
      </c>
      <c r="BH9" s="5" t="s">
        <v>146</v>
      </c>
      <c r="BI9" s="91">
        <v>3</v>
      </c>
      <c r="BJ9" s="5" t="s">
        <v>21</v>
      </c>
      <c r="BK9" s="732">
        <v>2878.6129999999998</v>
      </c>
      <c r="BL9" s="732">
        <v>4506.9019999999991</v>
      </c>
      <c r="BM9" s="732">
        <v>4965.1869999999999</v>
      </c>
      <c r="BN9" s="5" t="s">
        <v>146</v>
      </c>
      <c r="BP9" s="1698">
        <v>3</v>
      </c>
      <c r="BQ9" s="1696" t="s">
        <v>146</v>
      </c>
      <c r="BR9" s="1691">
        <v>1852.6949999999999</v>
      </c>
      <c r="BS9" s="1691">
        <v>1300.0650000000001</v>
      </c>
      <c r="BT9" s="1691">
        <v>1214.5920000000001</v>
      </c>
      <c r="BU9" s="1691">
        <f t="shared" si="11"/>
        <v>2514.6570000000002</v>
      </c>
      <c r="BV9" s="1699">
        <v>171.739</v>
      </c>
      <c r="BW9" s="1699">
        <v>221.94399999999999</v>
      </c>
      <c r="BX9" s="1699">
        <v>159.892</v>
      </c>
      <c r="BY9" s="1694">
        <f t="shared" si="12"/>
        <v>553.57500000000005</v>
      </c>
      <c r="BZ9" s="1697" t="s">
        <v>21</v>
      </c>
      <c r="CA9" s="1807">
        <v>3</v>
      </c>
      <c r="CB9" s="1696" t="s">
        <v>146</v>
      </c>
      <c r="CC9" s="1699">
        <v>91.638999999999996</v>
      </c>
      <c r="CD9" s="1699">
        <v>107.768</v>
      </c>
      <c r="CE9" s="1694">
        <f t="shared" si="13"/>
        <v>199.40699999999998</v>
      </c>
      <c r="CF9" s="1699">
        <v>2723.4659999999999</v>
      </c>
      <c r="CG9" s="1699">
        <v>4004.462</v>
      </c>
      <c r="CH9" s="1694">
        <f t="shared" si="14"/>
        <v>1280.9960000000001</v>
      </c>
      <c r="CI9" s="1695">
        <f t="shared" si="15"/>
        <v>147.03550549189893</v>
      </c>
      <c r="CJ9" s="1696" t="s">
        <v>21</v>
      </c>
    </row>
    <row r="10" spans="1:90" s="7" customFormat="1" ht="17.100000000000001" customHeight="1">
      <c r="A10" s="91">
        <v>4</v>
      </c>
      <c r="B10" s="5" t="s">
        <v>22</v>
      </c>
      <c r="C10" s="5">
        <v>9416</v>
      </c>
      <c r="D10" s="739">
        <v>9359.5679999999993</v>
      </c>
      <c r="E10" s="738">
        <v>621.63499999999999</v>
      </c>
      <c r="F10" s="738">
        <v>1713.0239999999999</v>
      </c>
      <c r="G10" s="738">
        <v>431.71499999999997</v>
      </c>
      <c r="H10" s="739">
        <f t="shared" si="0"/>
        <v>2144.739</v>
      </c>
      <c r="I10" s="5" t="s">
        <v>147</v>
      </c>
      <c r="J10" s="91">
        <v>4</v>
      </c>
      <c r="K10" s="5" t="s">
        <v>22</v>
      </c>
      <c r="L10" s="738">
        <v>15.231999999999999</v>
      </c>
      <c r="M10" s="738">
        <v>247.946</v>
      </c>
      <c r="N10" s="738">
        <v>44.462000000000003</v>
      </c>
      <c r="O10" s="739">
        <f t="shared" si="1"/>
        <v>307.64</v>
      </c>
      <c r="P10" s="738">
        <v>119.238</v>
      </c>
      <c r="Q10" s="738">
        <v>961.42</v>
      </c>
      <c r="R10" s="739">
        <f t="shared" si="2"/>
        <v>1080.6579999999999</v>
      </c>
      <c r="S10" s="5" t="s">
        <v>147</v>
      </c>
      <c r="T10" s="91">
        <v>4</v>
      </c>
      <c r="U10" s="5" t="s">
        <v>22</v>
      </c>
      <c r="V10" s="738">
        <v>5204.8959999999997</v>
      </c>
      <c r="W10" s="738">
        <v>7572.4170000000004</v>
      </c>
      <c r="X10" s="738">
        <f t="shared" si="3"/>
        <v>2367.5210000000006</v>
      </c>
      <c r="Y10" s="737">
        <f t="shared" si="4"/>
        <v>145.48642278347157</v>
      </c>
      <c r="Z10" s="736">
        <f t="shared" si="5"/>
        <v>6577.9619999999995</v>
      </c>
      <c r="AA10" s="5" t="s">
        <v>147</v>
      </c>
      <c r="AB10" s="91">
        <v>4</v>
      </c>
      <c r="AC10" s="5" t="s">
        <v>22</v>
      </c>
      <c r="AD10" s="736">
        <f t="shared" si="6"/>
        <v>6166.3159999999998</v>
      </c>
      <c r="AE10" s="736">
        <f t="shared" si="7"/>
        <v>2781.6059999999998</v>
      </c>
      <c r="AF10" s="736">
        <f t="shared" si="8"/>
        <v>3193.2519999999995</v>
      </c>
      <c r="AG10" s="5" t="s">
        <v>147</v>
      </c>
      <c r="AH10" s="91">
        <v>4</v>
      </c>
      <c r="AI10" s="5" t="s">
        <v>22</v>
      </c>
      <c r="AJ10" s="734">
        <v>9416</v>
      </c>
      <c r="AK10" s="734">
        <v>9359.5679999999993</v>
      </c>
      <c r="AL10" s="734">
        <v>621.63499999999999</v>
      </c>
      <c r="AM10" s="116">
        <v>1718.59</v>
      </c>
      <c r="AN10" s="116">
        <v>431.71499999999997</v>
      </c>
      <c r="AO10" s="117">
        <v>2150.3049999999998</v>
      </c>
      <c r="AP10" s="5" t="s">
        <v>147</v>
      </c>
      <c r="AQ10" s="91">
        <v>4</v>
      </c>
      <c r="AR10" s="5" t="s">
        <v>22</v>
      </c>
      <c r="AS10" s="116">
        <v>15.141</v>
      </c>
      <c r="AT10" s="116">
        <v>248.05199999999999</v>
      </c>
      <c r="AU10" s="116">
        <v>44.412999999999997</v>
      </c>
      <c r="AV10" s="117">
        <v>307.60599999999999</v>
      </c>
      <c r="AW10" s="116">
        <v>119.077</v>
      </c>
      <c r="AX10" s="116">
        <v>868.01099999999997</v>
      </c>
      <c r="AY10" s="117">
        <v>987.08799999999997</v>
      </c>
      <c r="AZ10" s="5" t="s">
        <v>147</v>
      </c>
      <c r="BA10" s="91">
        <v>4</v>
      </c>
      <c r="BB10" s="5" t="s">
        <v>22</v>
      </c>
      <c r="BC10" s="116">
        <v>5292.9340000000002</v>
      </c>
      <c r="BD10" s="116">
        <v>7654.3569999999991</v>
      </c>
      <c r="BE10" s="116">
        <v>2361.4229999999989</v>
      </c>
      <c r="BF10" s="733">
        <f t="shared" si="9"/>
        <v>144.61463150683531</v>
      </c>
      <c r="BG10" s="732">
        <f t="shared" si="10"/>
        <v>6572.4870000000001</v>
      </c>
      <c r="BH10" s="5" t="s">
        <v>147</v>
      </c>
      <c r="BI10" s="91">
        <v>4</v>
      </c>
      <c r="BJ10" s="5" t="s">
        <v>22</v>
      </c>
      <c r="BK10" s="732">
        <v>6160.9449999999997</v>
      </c>
      <c r="BL10" s="732">
        <v>2787.0809999999992</v>
      </c>
      <c r="BM10" s="732">
        <v>3198.6229999999996</v>
      </c>
      <c r="BN10" s="5" t="s">
        <v>147</v>
      </c>
      <c r="BP10" s="1698">
        <v>4</v>
      </c>
      <c r="BQ10" s="1696" t="s">
        <v>147</v>
      </c>
      <c r="BR10" s="1691">
        <v>621.63499999999999</v>
      </c>
      <c r="BS10" s="1691">
        <v>1718.5650000000001</v>
      </c>
      <c r="BT10" s="1691">
        <v>431.71499999999997</v>
      </c>
      <c r="BU10" s="1691">
        <f t="shared" si="11"/>
        <v>2150.2800000000002</v>
      </c>
      <c r="BV10" s="1699">
        <v>14.984</v>
      </c>
      <c r="BW10" s="1699">
        <v>248.49100000000001</v>
      </c>
      <c r="BX10" s="1699">
        <v>43.85</v>
      </c>
      <c r="BY10" s="1694">
        <f t="shared" si="12"/>
        <v>307.32500000000005</v>
      </c>
      <c r="BZ10" s="1697" t="s">
        <v>22</v>
      </c>
      <c r="CA10" s="1807">
        <v>4</v>
      </c>
      <c r="CB10" s="1696" t="s">
        <v>147</v>
      </c>
      <c r="CC10" s="1699">
        <v>118.36499999999999</v>
      </c>
      <c r="CD10" s="1699">
        <v>994.80899999999997</v>
      </c>
      <c r="CE10" s="1694">
        <f t="shared" si="13"/>
        <v>1113.174</v>
      </c>
      <c r="CF10" s="1699">
        <v>5167.1540000000005</v>
      </c>
      <c r="CG10" s="1699">
        <v>7406.3779999999997</v>
      </c>
      <c r="CH10" s="1694">
        <f t="shared" si="14"/>
        <v>2239.2239999999993</v>
      </c>
      <c r="CI10" s="1695">
        <f t="shared" si="15"/>
        <v>143.3357318167796</v>
      </c>
      <c r="CJ10" s="1696" t="s">
        <v>22</v>
      </c>
    </row>
    <row r="11" spans="1:90" s="7" customFormat="1" ht="17.100000000000001" customHeight="1">
      <c r="A11" s="91">
        <v>5</v>
      </c>
      <c r="B11" s="5" t="s">
        <v>23</v>
      </c>
      <c r="C11" s="5">
        <v>13519</v>
      </c>
      <c r="D11" s="739">
        <v>13789.835999999999</v>
      </c>
      <c r="E11" s="738">
        <v>6314.1980000000003</v>
      </c>
      <c r="F11" s="738">
        <v>738.93399999999997</v>
      </c>
      <c r="G11" s="738">
        <v>287.99</v>
      </c>
      <c r="H11" s="739">
        <f t="shared" si="0"/>
        <v>1026.924</v>
      </c>
      <c r="I11" s="5" t="s">
        <v>148</v>
      </c>
      <c r="J11" s="91">
        <v>5</v>
      </c>
      <c r="K11" s="5" t="s">
        <v>23</v>
      </c>
      <c r="L11" s="738">
        <v>887.32299999999998</v>
      </c>
      <c r="M11" s="738">
        <v>2.177</v>
      </c>
      <c r="N11" s="738">
        <v>363.55500000000001</v>
      </c>
      <c r="O11" s="739">
        <f t="shared" si="1"/>
        <v>1253.0550000000001</v>
      </c>
      <c r="P11" s="738">
        <v>263.41500000000002</v>
      </c>
      <c r="Q11" s="738">
        <v>281.26900000000001</v>
      </c>
      <c r="R11" s="739">
        <f t="shared" si="2"/>
        <v>544.68399999999997</v>
      </c>
      <c r="S11" s="5" t="s">
        <v>148</v>
      </c>
      <c r="T11" s="91">
        <v>5</v>
      </c>
      <c r="U11" s="5" t="s">
        <v>23</v>
      </c>
      <c r="V11" s="738">
        <v>4650.9750000000004</v>
      </c>
      <c r="W11" s="738">
        <v>5640.317</v>
      </c>
      <c r="X11" s="738">
        <f t="shared" si="3"/>
        <v>989.34199999999964</v>
      </c>
      <c r="Y11" s="737">
        <f t="shared" si="4"/>
        <v>121.27171184536574</v>
      </c>
      <c r="Z11" s="736">
        <f t="shared" si="5"/>
        <v>5561.3910000000005</v>
      </c>
      <c r="AA11" s="5" t="s">
        <v>148</v>
      </c>
      <c r="AB11" s="91">
        <v>5</v>
      </c>
      <c r="AC11" s="5" t="s">
        <v>23</v>
      </c>
      <c r="AD11" s="736">
        <f t="shared" si="6"/>
        <v>4932.2440000000006</v>
      </c>
      <c r="AE11" s="736">
        <f t="shared" si="7"/>
        <v>8228.4449999999997</v>
      </c>
      <c r="AF11" s="736">
        <f t="shared" si="8"/>
        <v>8857.5919999999987</v>
      </c>
      <c r="AG11" s="5" t="s">
        <v>148</v>
      </c>
      <c r="AH11" s="91">
        <v>5</v>
      </c>
      <c r="AI11" s="5" t="s">
        <v>23</v>
      </c>
      <c r="AJ11" s="734">
        <v>13519</v>
      </c>
      <c r="AK11" s="734">
        <v>13789.835999999999</v>
      </c>
      <c r="AL11" s="734">
        <v>6317.2809999999999</v>
      </c>
      <c r="AM11" s="116">
        <v>735.48800000000006</v>
      </c>
      <c r="AN11" s="116">
        <v>292.65499999999997</v>
      </c>
      <c r="AO11" s="117">
        <v>1028.143</v>
      </c>
      <c r="AP11" s="5" t="s">
        <v>148</v>
      </c>
      <c r="AQ11" s="91">
        <v>5</v>
      </c>
      <c r="AR11" s="5" t="s">
        <v>23</v>
      </c>
      <c r="AS11" s="116">
        <v>886.81899999999996</v>
      </c>
      <c r="AT11" s="116">
        <v>0.84599999999999997</v>
      </c>
      <c r="AU11" s="116">
        <v>362.31</v>
      </c>
      <c r="AV11" s="117">
        <v>1249.9749999999999</v>
      </c>
      <c r="AW11" s="116">
        <v>257.214</v>
      </c>
      <c r="AX11" s="116">
        <v>273.01499999999999</v>
      </c>
      <c r="AY11" s="117">
        <v>530.22900000000004</v>
      </c>
      <c r="AZ11" s="5" t="s">
        <v>148</v>
      </c>
      <c r="BA11" s="91">
        <v>5</v>
      </c>
      <c r="BB11" s="5" t="s">
        <v>23</v>
      </c>
      <c r="BC11" s="116">
        <v>4664.2079999999996</v>
      </c>
      <c r="BD11" s="116">
        <v>5673.4199999999992</v>
      </c>
      <c r="BE11" s="116">
        <v>1009.2119999999995</v>
      </c>
      <c r="BF11" s="733">
        <f t="shared" si="9"/>
        <v>121.63737123215775</v>
      </c>
      <c r="BG11" s="732">
        <f t="shared" si="10"/>
        <v>5557.5929999999998</v>
      </c>
      <c r="BH11" s="5" t="s">
        <v>148</v>
      </c>
      <c r="BI11" s="91">
        <v>5</v>
      </c>
      <c r="BJ11" s="5" t="s">
        <v>23</v>
      </c>
      <c r="BK11" s="732">
        <v>4937.223</v>
      </c>
      <c r="BL11" s="732">
        <v>8232.2429999999986</v>
      </c>
      <c r="BM11" s="732">
        <v>8852.6129999999994</v>
      </c>
      <c r="BN11" s="5" t="s">
        <v>148</v>
      </c>
      <c r="BP11" s="1698">
        <v>5</v>
      </c>
      <c r="BQ11" s="1696" t="s">
        <v>148</v>
      </c>
      <c r="BR11" s="1691">
        <v>6303.5029999999997</v>
      </c>
      <c r="BS11" s="1691">
        <v>739.02599999999995</v>
      </c>
      <c r="BT11" s="1691">
        <v>288.084</v>
      </c>
      <c r="BU11" s="1691">
        <f t="shared" si="11"/>
        <v>1027.1099999999999</v>
      </c>
      <c r="BV11" s="1699">
        <v>887.75900000000001</v>
      </c>
      <c r="BW11" s="1699">
        <v>2.3159999999999998</v>
      </c>
      <c r="BX11" s="1699">
        <v>366.14600000000002</v>
      </c>
      <c r="BY11" s="1694">
        <f t="shared" si="12"/>
        <v>1256.221</v>
      </c>
      <c r="BZ11" s="1697" t="s">
        <v>23</v>
      </c>
      <c r="CA11" s="1807">
        <v>5</v>
      </c>
      <c r="CB11" s="1696" t="s">
        <v>148</v>
      </c>
      <c r="CC11" s="1699">
        <v>256.25</v>
      </c>
      <c r="CD11" s="1699">
        <v>265.995</v>
      </c>
      <c r="CE11" s="1694">
        <f t="shared" si="13"/>
        <v>522.245</v>
      </c>
      <c r="CF11" s="1699">
        <v>4679.223</v>
      </c>
      <c r="CG11" s="1699">
        <v>5613.5789999999988</v>
      </c>
      <c r="CH11" s="1694">
        <f t="shared" si="14"/>
        <v>934.35599999999886</v>
      </c>
      <c r="CI11" s="1695">
        <f t="shared" si="15"/>
        <v>119.96818702592287</v>
      </c>
      <c r="CJ11" s="1696" t="s">
        <v>23</v>
      </c>
    </row>
    <row r="12" spans="1:90" s="7" customFormat="1" ht="17.100000000000001" customHeight="1">
      <c r="A12" s="91">
        <v>6</v>
      </c>
      <c r="B12" s="5" t="s">
        <v>24</v>
      </c>
      <c r="C12" s="5">
        <v>148</v>
      </c>
      <c r="D12" s="739">
        <v>147.488</v>
      </c>
      <c r="E12" s="738">
        <v>1.4770000000000001</v>
      </c>
      <c r="F12" s="738">
        <v>75.484999999999999</v>
      </c>
      <c r="G12" s="738">
        <v>17.707999999999998</v>
      </c>
      <c r="H12" s="739">
        <f t="shared" si="0"/>
        <v>93.192999999999998</v>
      </c>
      <c r="I12" s="5" t="s">
        <v>149</v>
      </c>
      <c r="J12" s="91">
        <v>6</v>
      </c>
      <c r="K12" s="5" t="s">
        <v>24</v>
      </c>
      <c r="L12" s="738">
        <v>6.0999999999999999E-2</v>
      </c>
      <c r="M12" s="738">
        <v>1.177</v>
      </c>
      <c r="N12" s="738">
        <v>9.8930000000000007</v>
      </c>
      <c r="O12" s="739">
        <f t="shared" si="1"/>
        <v>11.131</v>
      </c>
      <c r="P12" s="738">
        <v>8.0640000000000001</v>
      </c>
      <c r="Q12" s="738">
        <v>11.734</v>
      </c>
      <c r="R12" s="739">
        <f t="shared" si="2"/>
        <v>19.798000000000002</v>
      </c>
      <c r="S12" s="5" t="s">
        <v>149</v>
      </c>
      <c r="T12" s="91">
        <v>6</v>
      </c>
      <c r="U12" s="5" t="s">
        <v>24</v>
      </c>
      <c r="V12" s="738">
        <v>21.888999999999999</v>
      </c>
      <c r="W12" s="738">
        <v>58.468000000000004</v>
      </c>
      <c r="X12" s="738">
        <f t="shared" si="3"/>
        <v>36.579000000000008</v>
      </c>
      <c r="Y12" s="737">
        <f t="shared" si="4"/>
        <v>267.11133446023121</v>
      </c>
      <c r="Z12" s="736">
        <f t="shared" si="5"/>
        <v>52.757000000000005</v>
      </c>
      <c r="AA12" s="5" t="s">
        <v>149</v>
      </c>
      <c r="AB12" s="91">
        <v>6</v>
      </c>
      <c r="AC12" s="5" t="s">
        <v>24</v>
      </c>
      <c r="AD12" s="736">
        <f t="shared" si="6"/>
        <v>33.622999999999998</v>
      </c>
      <c r="AE12" s="736">
        <f t="shared" si="7"/>
        <v>94.730999999999995</v>
      </c>
      <c r="AF12" s="736">
        <f t="shared" si="8"/>
        <v>113.86500000000001</v>
      </c>
      <c r="AG12" s="5" t="s">
        <v>149</v>
      </c>
      <c r="AH12" s="91">
        <v>6</v>
      </c>
      <c r="AI12" s="5" t="s">
        <v>24</v>
      </c>
      <c r="AJ12" s="734">
        <v>148</v>
      </c>
      <c r="AK12" s="734">
        <v>147.488</v>
      </c>
      <c r="AL12" s="734">
        <v>1.4770000000000001</v>
      </c>
      <c r="AM12" s="116">
        <v>75.484999999999999</v>
      </c>
      <c r="AN12" s="116">
        <v>17.707999999999998</v>
      </c>
      <c r="AO12" s="117">
        <v>93.192999999999998</v>
      </c>
      <c r="AP12" s="5" t="s">
        <v>149</v>
      </c>
      <c r="AQ12" s="91">
        <v>6</v>
      </c>
      <c r="AR12" s="5" t="s">
        <v>24</v>
      </c>
      <c r="AS12" s="116">
        <v>6.0999999999999999E-2</v>
      </c>
      <c r="AT12" s="116">
        <v>1.177</v>
      </c>
      <c r="AU12" s="116">
        <v>9.8930000000000007</v>
      </c>
      <c r="AV12" s="117">
        <v>11.131</v>
      </c>
      <c r="AW12" s="116">
        <v>8.0640000000000001</v>
      </c>
      <c r="AX12" s="116">
        <v>11.734</v>
      </c>
      <c r="AY12" s="117">
        <v>19.798000000000002</v>
      </c>
      <c r="AZ12" s="5" t="s">
        <v>149</v>
      </c>
      <c r="BA12" s="91">
        <v>6</v>
      </c>
      <c r="BB12" s="5" t="s">
        <v>24</v>
      </c>
      <c r="BC12" s="116">
        <v>21.888999999999999</v>
      </c>
      <c r="BD12" s="116">
        <v>56.8</v>
      </c>
      <c r="BE12" s="116">
        <v>34.911000000000001</v>
      </c>
      <c r="BF12" s="733">
        <f t="shared" si="9"/>
        <v>259.49106857325597</v>
      </c>
      <c r="BG12" s="732">
        <f t="shared" si="10"/>
        <v>52.757000000000005</v>
      </c>
      <c r="BH12" s="5" t="s">
        <v>149</v>
      </c>
      <c r="BI12" s="91">
        <v>6</v>
      </c>
      <c r="BJ12" s="5" t="s">
        <v>24</v>
      </c>
      <c r="BK12" s="732">
        <v>33.622999999999998</v>
      </c>
      <c r="BL12" s="732">
        <v>94.730999999999995</v>
      </c>
      <c r="BM12" s="732">
        <v>113.86500000000001</v>
      </c>
      <c r="BN12" s="5" t="s">
        <v>149</v>
      </c>
      <c r="BP12" s="1693">
        <v>6</v>
      </c>
      <c r="BQ12" s="1696" t="s">
        <v>150</v>
      </c>
      <c r="BR12" s="1691">
        <v>125.473</v>
      </c>
      <c r="BS12" s="1691">
        <v>37.137</v>
      </c>
      <c r="BT12" s="1691"/>
      <c r="BU12" s="1691">
        <f t="shared" si="11"/>
        <v>37.137</v>
      </c>
      <c r="BV12" s="1699">
        <v>1.3049999999999999</v>
      </c>
      <c r="BW12" s="1699">
        <v>0.57999999999999996</v>
      </c>
      <c r="BX12" s="1699">
        <v>52.533000000000001</v>
      </c>
      <c r="BY12" s="1694">
        <f t="shared" si="12"/>
        <v>54.417999999999999</v>
      </c>
      <c r="BZ12" s="1697" t="s">
        <v>16</v>
      </c>
      <c r="CA12" s="1806">
        <v>6</v>
      </c>
      <c r="CB12" s="1696" t="s">
        <v>150</v>
      </c>
      <c r="CC12" s="1699"/>
      <c r="CD12" s="1699">
        <v>16.393000000000001</v>
      </c>
      <c r="CE12" s="1694">
        <f t="shared" si="13"/>
        <v>16.393000000000001</v>
      </c>
      <c r="CF12" s="1699">
        <v>127.69199999999999</v>
      </c>
      <c r="CG12" s="1699">
        <v>149.84800000000001</v>
      </c>
      <c r="CH12" s="1694">
        <f t="shared" si="14"/>
        <v>22.15600000000002</v>
      </c>
      <c r="CI12" s="1695">
        <f t="shared" si="15"/>
        <v>117.35112614729192</v>
      </c>
      <c r="CJ12" s="1696" t="s">
        <v>16</v>
      </c>
    </row>
    <row r="13" spans="1:90" s="7" customFormat="1" ht="17.100000000000001" customHeight="1">
      <c r="A13" s="91">
        <v>7</v>
      </c>
      <c r="B13" s="5" t="s">
        <v>16</v>
      </c>
      <c r="C13" s="5">
        <v>370</v>
      </c>
      <c r="D13" s="739">
        <v>361.11300000000006</v>
      </c>
      <c r="E13" s="738">
        <v>125.473</v>
      </c>
      <c r="F13" s="738">
        <v>37.137</v>
      </c>
      <c r="G13" s="738"/>
      <c r="H13" s="739">
        <f t="shared" si="0"/>
        <v>37.137</v>
      </c>
      <c r="I13" s="5" t="s">
        <v>150</v>
      </c>
      <c r="J13" s="91">
        <v>7</v>
      </c>
      <c r="K13" s="5" t="s">
        <v>16</v>
      </c>
      <c r="L13" s="738">
        <v>1.3049999999999999</v>
      </c>
      <c r="M13" s="738">
        <v>0.57999999999999996</v>
      </c>
      <c r="N13" s="738">
        <v>52.533000000000001</v>
      </c>
      <c r="O13" s="739">
        <f t="shared" si="1"/>
        <v>54.417999999999999</v>
      </c>
      <c r="P13" s="738"/>
      <c r="Q13" s="738">
        <v>13.976000000000001</v>
      </c>
      <c r="R13" s="739">
        <f t="shared" si="2"/>
        <v>13.976000000000001</v>
      </c>
      <c r="S13" s="5" t="s">
        <v>150</v>
      </c>
      <c r="T13" s="91">
        <v>7</v>
      </c>
      <c r="U13" s="5" t="s">
        <v>16</v>
      </c>
      <c r="V13" s="738">
        <v>130.10900000000001</v>
      </c>
      <c r="W13" s="738">
        <v>157.33200000000002</v>
      </c>
      <c r="X13" s="738">
        <f t="shared" si="3"/>
        <v>27.223000000000013</v>
      </c>
      <c r="Y13" s="737">
        <f t="shared" si="4"/>
        <v>120.92322591058266</v>
      </c>
      <c r="Z13" s="736">
        <f t="shared" si="5"/>
        <v>197.19800000000001</v>
      </c>
      <c r="AA13" s="5" t="s">
        <v>150</v>
      </c>
      <c r="AB13" s="91">
        <v>7</v>
      </c>
      <c r="AC13" s="5" t="s">
        <v>16</v>
      </c>
      <c r="AD13" s="736">
        <f t="shared" si="6"/>
        <v>144.08500000000001</v>
      </c>
      <c r="AE13" s="736">
        <f t="shared" si="7"/>
        <v>163.91500000000005</v>
      </c>
      <c r="AF13" s="736">
        <f t="shared" si="8"/>
        <v>217.02800000000005</v>
      </c>
      <c r="AG13" s="5" t="s">
        <v>150</v>
      </c>
      <c r="AH13" s="91">
        <v>7</v>
      </c>
      <c r="AI13" s="5" t="s">
        <v>16</v>
      </c>
      <c r="AJ13" s="734">
        <v>370</v>
      </c>
      <c r="AK13" s="734">
        <v>361.11300000000006</v>
      </c>
      <c r="AL13" s="734">
        <v>125.473</v>
      </c>
      <c r="AM13" s="116">
        <v>37.137</v>
      </c>
      <c r="AN13" s="116"/>
      <c r="AO13" s="117">
        <v>37.137</v>
      </c>
      <c r="AP13" s="5" t="s">
        <v>150</v>
      </c>
      <c r="AQ13" s="91">
        <v>7</v>
      </c>
      <c r="AR13" s="5" t="s">
        <v>16</v>
      </c>
      <c r="AS13" s="116">
        <v>1.3049999999999999</v>
      </c>
      <c r="AT13" s="116">
        <v>0.57999999999999996</v>
      </c>
      <c r="AU13" s="116">
        <v>52.533000000000001</v>
      </c>
      <c r="AV13" s="117">
        <v>54.417999999999999</v>
      </c>
      <c r="AW13" s="116"/>
      <c r="AX13" s="116">
        <v>13.946999999999999</v>
      </c>
      <c r="AY13" s="117">
        <v>13.946999999999999</v>
      </c>
      <c r="AZ13" s="5" t="s">
        <v>150</v>
      </c>
      <c r="BA13" s="91">
        <v>7</v>
      </c>
      <c r="BB13" s="5" t="s">
        <v>16</v>
      </c>
      <c r="BC13" s="116">
        <v>130.13800000000001</v>
      </c>
      <c r="BD13" s="116">
        <v>154.72</v>
      </c>
      <c r="BE13" s="116">
        <v>24.581999999999994</v>
      </c>
      <c r="BF13" s="733">
        <f t="shared" si="9"/>
        <v>118.88917917902533</v>
      </c>
      <c r="BG13" s="732">
        <f t="shared" si="10"/>
        <v>197.19800000000001</v>
      </c>
      <c r="BH13" s="5" t="s">
        <v>150</v>
      </c>
      <c r="BI13" s="91">
        <v>7</v>
      </c>
      <c r="BJ13" s="5" t="s">
        <v>16</v>
      </c>
      <c r="BK13" s="732">
        <v>144.08500000000001</v>
      </c>
      <c r="BL13" s="732">
        <v>163.91500000000005</v>
      </c>
      <c r="BM13" s="732">
        <v>217.02800000000005</v>
      </c>
      <c r="BN13" s="5" t="s">
        <v>150</v>
      </c>
      <c r="BP13" s="1698">
        <v>7</v>
      </c>
      <c r="BQ13" s="1696" t="s">
        <v>151</v>
      </c>
      <c r="BR13" s="1691">
        <v>1834</v>
      </c>
      <c r="BS13" s="1691">
        <v>1171.0999999999999</v>
      </c>
      <c r="BT13" s="1691">
        <v>2551.5</v>
      </c>
      <c r="BU13" s="1691">
        <f t="shared" si="11"/>
        <v>3722.6</v>
      </c>
      <c r="BV13" s="1699">
        <v>851.4</v>
      </c>
      <c r="BW13" s="1699">
        <v>3.6</v>
      </c>
      <c r="BX13" s="1699">
        <v>1960</v>
      </c>
      <c r="BY13" s="1694">
        <f t="shared" si="12"/>
        <v>2815</v>
      </c>
      <c r="BZ13" s="1697" t="s">
        <v>17</v>
      </c>
      <c r="CA13" s="1807">
        <v>7</v>
      </c>
      <c r="CB13" s="1696" t="s">
        <v>151</v>
      </c>
      <c r="CC13" s="1699">
        <v>16.2</v>
      </c>
      <c r="CD13" s="1699">
        <v>378.9</v>
      </c>
      <c r="CE13" s="1694">
        <f t="shared" si="13"/>
        <v>395.09999999999997</v>
      </c>
      <c r="CF13" s="1699">
        <v>10301.799999999999</v>
      </c>
      <c r="CG13" s="1699">
        <v>11429.377</v>
      </c>
      <c r="CH13" s="1694">
        <f t="shared" si="14"/>
        <v>1127.5770000000011</v>
      </c>
      <c r="CI13" s="1695">
        <f t="shared" si="15"/>
        <v>110.94543671979655</v>
      </c>
      <c r="CJ13" s="1696" t="s">
        <v>17</v>
      </c>
    </row>
    <row r="14" spans="1:90" s="7" customFormat="1" ht="17.100000000000001" customHeight="1">
      <c r="A14" s="91">
        <v>8</v>
      </c>
      <c r="B14" s="5" t="s">
        <v>17</v>
      </c>
      <c r="C14" s="5">
        <v>19602</v>
      </c>
      <c r="D14" s="739">
        <v>19068.5</v>
      </c>
      <c r="E14" s="738">
        <v>1834</v>
      </c>
      <c r="F14" s="738">
        <v>1171.0999999999999</v>
      </c>
      <c r="G14" s="738">
        <v>2551.5</v>
      </c>
      <c r="H14" s="739">
        <f t="shared" si="0"/>
        <v>3722.6</v>
      </c>
      <c r="I14" s="5" t="s">
        <v>151</v>
      </c>
      <c r="J14" s="91">
        <v>8</v>
      </c>
      <c r="K14" s="5" t="s">
        <v>17</v>
      </c>
      <c r="L14" s="738">
        <v>851.4</v>
      </c>
      <c r="M14" s="738">
        <v>3.6</v>
      </c>
      <c r="N14" s="738">
        <v>1960</v>
      </c>
      <c r="O14" s="739">
        <f t="shared" si="1"/>
        <v>2815</v>
      </c>
      <c r="P14" s="738">
        <v>16.2</v>
      </c>
      <c r="Q14" s="738">
        <v>378.9</v>
      </c>
      <c r="R14" s="739">
        <f t="shared" si="2"/>
        <v>395.09999999999997</v>
      </c>
      <c r="S14" s="5" t="s">
        <v>151</v>
      </c>
      <c r="T14" s="91">
        <v>8</v>
      </c>
      <c r="U14" s="5" t="s">
        <v>17</v>
      </c>
      <c r="V14" s="738">
        <v>10301.799999999999</v>
      </c>
      <c r="W14" s="738">
        <v>11521.61</v>
      </c>
      <c r="X14" s="738">
        <f t="shared" si="3"/>
        <v>1219.8100000000013</v>
      </c>
      <c r="Y14" s="737">
        <f t="shared" si="4"/>
        <v>111.84074627734961</v>
      </c>
      <c r="Z14" s="736">
        <f t="shared" si="5"/>
        <v>12660.5</v>
      </c>
      <c r="AA14" s="5" t="s">
        <v>151</v>
      </c>
      <c r="AB14" s="91">
        <v>8</v>
      </c>
      <c r="AC14" s="5" t="s">
        <v>17</v>
      </c>
      <c r="AD14" s="736">
        <f t="shared" si="6"/>
        <v>10680.699999999999</v>
      </c>
      <c r="AE14" s="736">
        <f t="shared" si="7"/>
        <v>6408</v>
      </c>
      <c r="AF14" s="736">
        <f t="shared" si="8"/>
        <v>8387.8000000000011</v>
      </c>
      <c r="AG14" s="5" t="s">
        <v>151</v>
      </c>
      <c r="AH14" s="91">
        <v>8</v>
      </c>
      <c r="AI14" s="5" t="s">
        <v>17</v>
      </c>
      <c r="AJ14" s="734">
        <v>19602</v>
      </c>
      <c r="AK14" s="734">
        <v>19068.5</v>
      </c>
      <c r="AL14" s="734">
        <v>1834</v>
      </c>
      <c r="AM14" s="116">
        <v>1171.0999999999999</v>
      </c>
      <c r="AN14" s="116">
        <v>2551.5</v>
      </c>
      <c r="AO14" s="117">
        <v>3722.6</v>
      </c>
      <c r="AP14" s="5" t="s">
        <v>151</v>
      </c>
      <c r="AQ14" s="91">
        <v>8</v>
      </c>
      <c r="AR14" s="5" t="s">
        <v>17</v>
      </c>
      <c r="AS14" s="116">
        <v>851.4</v>
      </c>
      <c r="AT14" s="116">
        <v>3.6</v>
      </c>
      <c r="AU14" s="116">
        <v>1960</v>
      </c>
      <c r="AV14" s="117">
        <v>2815</v>
      </c>
      <c r="AW14" s="116">
        <v>16.2</v>
      </c>
      <c r="AX14" s="116">
        <v>378.9</v>
      </c>
      <c r="AY14" s="117">
        <v>395.09999999999997</v>
      </c>
      <c r="AZ14" s="5" t="s">
        <v>151</v>
      </c>
      <c r="BA14" s="91">
        <v>8</v>
      </c>
      <c r="BB14" s="5" t="s">
        <v>17</v>
      </c>
      <c r="BC14" s="116">
        <v>10301.799999999999</v>
      </c>
      <c r="BD14" s="116">
        <v>11994.390000000001</v>
      </c>
      <c r="BE14" s="116">
        <v>1692.590000000002</v>
      </c>
      <c r="BF14" s="733">
        <f t="shared" si="9"/>
        <v>116.43004135199675</v>
      </c>
      <c r="BG14" s="732">
        <f t="shared" si="10"/>
        <v>12660.5</v>
      </c>
      <c r="BH14" s="5" t="s">
        <v>151</v>
      </c>
      <c r="BI14" s="91">
        <v>8</v>
      </c>
      <c r="BJ14" s="5" t="s">
        <v>17</v>
      </c>
      <c r="BK14" s="732">
        <v>10680.699999999999</v>
      </c>
      <c r="BL14" s="732">
        <v>6408</v>
      </c>
      <c r="BM14" s="732">
        <v>8387.8000000000011</v>
      </c>
      <c r="BN14" s="5" t="s">
        <v>151</v>
      </c>
      <c r="BP14" s="1698">
        <v>8</v>
      </c>
      <c r="BQ14" s="1696" t="s">
        <v>152</v>
      </c>
      <c r="BR14" s="1691">
        <v>35.427999999999997</v>
      </c>
      <c r="BS14" s="1691">
        <v>156.49700000000001</v>
      </c>
      <c r="BT14" s="1691">
        <v>288.84300000000002</v>
      </c>
      <c r="BU14" s="1691">
        <f t="shared" si="11"/>
        <v>445.34000000000003</v>
      </c>
      <c r="BV14" s="1699">
        <v>73.944000000000003</v>
      </c>
      <c r="BW14" s="1699">
        <v>21.248000000000001</v>
      </c>
      <c r="BX14" s="1699">
        <v>54.128</v>
      </c>
      <c r="BY14" s="1694">
        <f t="shared" si="12"/>
        <v>149.32</v>
      </c>
      <c r="BZ14" s="1697" t="s">
        <v>25</v>
      </c>
      <c r="CA14" s="1807">
        <v>8</v>
      </c>
      <c r="CB14" s="1696" t="s">
        <v>152</v>
      </c>
      <c r="CC14" s="1699">
        <v>35.451000000000001</v>
      </c>
      <c r="CD14" s="1699">
        <v>105.447</v>
      </c>
      <c r="CE14" s="1694">
        <f t="shared" si="13"/>
        <v>140.898</v>
      </c>
      <c r="CF14" s="1699">
        <v>3600.5010000000002</v>
      </c>
      <c r="CG14" s="1699">
        <v>6604.8779999999988</v>
      </c>
      <c r="CH14" s="1694">
        <f t="shared" si="14"/>
        <v>3004.3769999999986</v>
      </c>
      <c r="CI14" s="1695">
        <f t="shared" si="15"/>
        <v>183.44330414017378</v>
      </c>
      <c r="CJ14" s="1696" t="s">
        <v>25</v>
      </c>
    </row>
    <row r="15" spans="1:90" s="7" customFormat="1" ht="17.100000000000001" customHeight="1">
      <c r="A15" s="91">
        <v>9</v>
      </c>
      <c r="B15" s="5" t="s">
        <v>25</v>
      </c>
      <c r="C15" s="5">
        <v>4421</v>
      </c>
      <c r="D15" s="739">
        <v>4371.4870000000001</v>
      </c>
      <c r="E15" s="738">
        <v>41.040999999999997</v>
      </c>
      <c r="F15" s="738">
        <v>394.99</v>
      </c>
      <c r="G15" s="738">
        <v>112.568</v>
      </c>
      <c r="H15" s="739">
        <f t="shared" si="0"/>
        <v>507.55799999999999</v>
      </c>
      <c r="I15" s="5" t="s">
        <v>152</v>
      </c>
      <c r="J15" s="91">
        <v>9</v>
      </c>
      <c r="K15" s="5" t="s">
        <v>25</v>
      </c>
      <c r="L15" s="738">
        <v>25.318999999999999</v>
      </c>
      <c r="M15" s="738">
        <v>7.9779999999999998</v>
      </c>
      <c r="N15" s="738">
        <v>44.311</v>
      </c>
      <c r="O15" s="739">
        <f t="shared" si="1"/>
        <v>77.608000000000004</v>
      </c>
      <c r="P15" s="738">
        <v>130.05000000000001</v>
      </c>
      <c r="Q15" s="738">
        <v>93.082999999999998</v>
      </c>
      <c r="R15" s="739">
        <f t="shared" si="2"/>
        <v>223.13300000000001</v>
      </c>
      <c r="S15" s="5" t="s">
        <v>152</v>
      </c>
      <c r="T15" s="91">
        <v>9</v>
      </c>
      <c r="U15" s="5" t="s">
        <v>25</v>
      </c>
      <c r="V15" s="738">
        <v>3522.1469999999999</v>
      </c>
      <c r="W15" s="738">
        <v>6510.3520000000008</v>
      </c>
      <c r="X15" s="738">
        <f t="shared" si="3"/>
        <v>2988.2050000000008</v>
      </c>
      <c r="Y15" s="737">
        <f t="shared" si="4"/>
        <v>184.84043965229165</v>
      </c>
      <c r="Z15" s="736">
        <f t="shared" si="5"/>
        <v>3797.569</v>
      </c>
      <c r="AA15" s="5" t="s">
        <v>152</v>
      </c>
      <c r="AB15" s="91">
        <v>9</v>
      </c>
      <c r="AC15" s="5" t="s">
        <v>25</v>
      </c>
      <c r="AD15" s="736">
        <f t="shared" si="6"/>
        <v>3615.23</v>
      </c>
      <c r="AE15" s="736">
        <f t="shared" si="7"/>
        <v>573.91800000000012</v>
      </c>
      <c r="AF15" s="736">
        <f t="shared" si="8"/>
        <v>756.25700000000006</v>
      </c>
      <c r="AG15" s="5" t="s">
        <v>152</v>
      </c>
      <c r="AH15" s="91">
        <v>9</v>
      </c>
      <c r="AI15" s="5" t="s">
        <v>25</v>
      </c>
      <c r="AJ15" s="734">
        <v>4421</v>
      </c>
      <c r="AK15" s="734">
        <v>4371.4870000000001</v>
      </c>
      <c r="AL15" s="734">
        <v>39.604999999999997</v>
      </c>
      <c r="AM15" s="116">
        <v>435.93700000000001</v>
      </c>
      <c r="AN15" s="116">
        <v>127.923</v>
      </c>
      <c r="AO15" s="117">
        <v>563.86</v>
      </c>
      <c r="AP15" s="5" t="s">
        <v>152</v>
      </c>
      <c r="AQ15" s="91">
        <v>9</v>
      </c>
      <c r="AR15" s="5" t="s">
        <v>25</v>
      </c>
      <c r="AS15" s="116">
        <v>24.33</v>
      </c>
      <c r="AT15" s="116">
        <v>8.3339999999999996</v>
      </c>
      <c r="AU15" s="116">
        <v>35.049999999999997</v>
      </c>
      <c r="AV15" s="117">
        <v>67.713999999999999</v>
      </c>
      <c r="AW15" s="116">
        <v>91.581999999999994</v>
      </c>
      <c r="AX15" s="116">
        <v>109.595</v>
      </c>
      <c r="AY15" s="117">
        <v>201.17699999999999</v>
      </c>
      <c r="AZ15" s="5" t="s">
        <v>152</v>
      </c>
      <c r="BA15" s="91">
        <v>9</v>
      </c>
      <c r="BB15" s="5" t="s">
        <v>25</v>
      </c>
      <c r="BC15" s="116">
        <v>3499.1309999999999</v>
      </c>
      <c r="BD15" s="116">
        <v>6451.8530000000001</v>
      </c>
      <c r="BE15" s="116">
        <v>2952.7220000000002</v>
      </c>
      <c r="BF15" s="733">
        <f t="shared" si="9"/>
        <v>184.38443716454171</v>
      </c>
      <c r="BG15" s="732">
        <f t="shared" si="10"/>
        <v>3743.692</v>
      </c>
      <c r="BH15" s="5" t="s">
        <v>152</v>
      </c>
      <c r="BI15" s="91">
        <v>9</v>
      </c>
      <c r="BJ15" s="5" t="s">
        <v>25</v>
      </c>
      <c r="BK15" s="732">
        <v>3608.7259999999997</v>
      </c>
      <c r="BL15" s="732">
        <v>627.79500000000007</v>
      </c>
      <c r="BM15" s="732">
        <v>762.76100000000042</v>
      </c>
      <c r="BN15" s="5" t="s">
        <v>152</v>
      </c>
      <c r="BP15" s="1698">
        <v>9</v>
      </c>
      <c r="BQ15" s="1696" t="s">
        <v>153</v>
      </c>
      <c r="BR15" s="1691">
        <v>1125.02</v>
      </c>
      <c r="BS15" s="1691">
        <v>358.375</v>
      </c>
      <c r="BT15" s="1691">
        <v>774.42499999999995</v>
      </c>
      <c r="BU15" s="1691">
        <f t="shared" si="11"/>
        <v>1132.8</v>
      </c>
      <c r="BV15" s="1699">
        <v>1502.3019999999999</v>
      </c>
      <c r="BW15" s="1699">
        <v>70.552999999999997</v>
      </c>
      <c r="BX15" s="1699">
        <v>119.62</v>
      </c>
      <c r="BY15" s="1694">
        <f t="shared" si="12"/>
        <v>1692.4749999999999</v>
      </c>
      <c r="BZ15" s="1697" t="s">
        <v>5</v>
      </c>
      <c r="CA15" s="1807">
        <v>9</v>
      </c>
      <c r="CB15" s="1696" t="s">
        <v>153</v>
      </c>
      <c r="CC15" s="1699">
        <v>19.053000000000001</v>
      </c>
      <c r="CD15" s="1699">
        <v>64.846999999999994</v>
      </c>
      <c r="CE15" s="1694">
        <f t="shared" si="13"/>
        <v>83.899999999999991</v>
      </c>
      <c r="CF15" s="1699">
        <v>542.33600000000001</v>
      </c>
      <c r="CG15" s="1699">
        <v>914.01400000000001</v>
      </c>
      <c r="CH15" s="1694">
        <f t="shared" si="14"/>
        <v>371.678</v>
      </c>
      <c r="CI15" s="1695">
        <f t="shared" si="15"/>
        <v>168.53279147982065</v>
      </c>
      <c r="CJ15" s="1696" t="s">
        <v>5</v>
      </c>
    </row>
    <row r="16" spans="1:90" s="7" customFormat="1" ht="17.100000000000001" customHeight="1">
      <c r="A16" s="91">
        <v>10</v>
      </c>
      <c r="B16" s="5" t="s">
        <v>5</v>
      </c>
      <c r="C16" s="5">
        <v>5567</v>
      </c>
      <c r="D16" s="739">
        <v>4577.1530000000002</v>
      </c>
      <c r="E16" s="738">
        <v>1126.8309999999999</v>
      </c>
      <c r="F16" s="738">
        <v>358.714</v>
      </c>
      <c r="G16" s="738">
        <v>773.78099999999995</v>
      </c>
      <c r="H16" s="739">
        <f t="shared" si="0"/>
        <v>1132.4949999999999</v>
      </c>
      <c r="I16" s="5" t="s">
        <v>153</v>
      </c>
      <c r="J16" s="91">
        <v>10</v>
      </c>
      <c r="K16" s="5" t="s">
        <v>5</v>
      </c>
      <c r="L16" s="738">
        <v>1502.0820000000001</v>
      </c>
      <c r="M16" s="738">
        <v>68.748000000000005</v>
      </c>
      <c r="N16" s="738">
        <v>119.488</v>
      </c>
      <c r="O16" s="739">
        <f t="shared" si="1"/>
        <v>1690.3180000000002</v>
      </c>
      <c r="P16" s="738">
        <v>22.306000000000001</v>
      </c>
      <c r="Q16" s="738">
        <v>53.896000000000001</v>
      </c>
      <c r="R16" s="739">
        <f t="shared" si="2"/>
        <v>76.201999999999998</v>
      </c>
      <c r="S16" s="5" t="s">
        <v>153</v>
      </c>
      <c r="T16" s="91">
        <v>10</v>
      </c>
      <c r="U16" s="5" t="s">
        <v>5</v>
      </c>
      <c r="V16" s="738">
        <v>551.30700000000002</v>
      </c>
      <c r="W16" s="738">
        <v>932.59199999999998</v>
      </c>
      <c r="X16" s="738">
        <f t="shared" si="3"/>
        <v>381.28499999999997</v>
      </c>
      <c r="Y16" s="737">
        <f t="shared" si="4"/>
        <v>169.16019568044663</v>
      </c>
      <c r="Z16" s="736">
        <f t="shared" si="5"/>
        <v>815.745</v>
      </c>
      <c r="AA16" s="5" t="s">
        <v>153</v>
      </c>
      <c r="AB16" s="91">
        <v>10</v>
      </c>
      <c r="AC16" s="5" t="s">
        <v>5</v>
      </c>
      <c r="AD16" s="736">
        <f t="shared" si="6"/>
        <v>605.20299999999997</v>
      </c>
      <c r="AE16" s="736">
        <f t="shared" si="7"/>
        <v>3761.4080000000004</v>
      </c>
      <c r="AF16" s="736">
        <f t="shared" si="8"/>
        <v>3971.9500000000003</v>
      </c>
      <c r="AG16" s="5" t="s">
        <v>153</v>
      </c>
      <c r="AH16" s="91">
        <v>10</v>
      </c>
      <c r="AI16" s="5" t="s">
        <v>5</v>
      </c>
      <c r="AJ16" s="734">
        <v>5567</v>
      </c>
      <c r="AK16" s="734">
        <v>4577.7420000000002</v>
      </c>
      <c r="AL16" s="734">
        <v>1125.386</v>
      </c>
      <c r="AM16" s="116">
        <v>352.40699999999998</v>
      </c>
      <c r="AN16" s="116">
        <v>778.99800000000005</v>
      </c>
      <c r="AO16" s="117">
        <v>1131.405</v>
      </c>
      <c r="AP16" s="5" t="s">
        <v>153</v>
      </c>
      <c r="AQ16" s="91">
        <v>10</v>
      </c>
      <c r="AR16" s="5" t="s">
        <v>5</v>
      </c>
      <c r="AS16" s="116">
        <v>1507.9649999999999</v>
      </c>
      <c r="AT16" s="116">
        <v>66.594999999999999</v>
      </c>
      <c r="AU16" s="116">
        <v>121.714</v>
      </c>
      <c r="AV16" s="117">
        <v>1696.2739999999999</v>
      </c>
      <c r="AW16" s="116">
        <v>21.367000000000001</v>
      </c>
      <c r="AX16" s="116">
        <v>55.753999999999998</v>
      </c>
      <c r="AY16" s="117">
        <v>77.120999999999995</v>
      </c>
      <c r="AZ16" s="5" t="s">
        <v>153</v>
      </c>
      <c r="BA16" s="91">
        <v>10</v>
      </c>
      <c r="BB16" s="5" t="s">
        <v>5</v>
      </c>
      <c r="BC16" s="116">
        <v>547.55600000000004</v>
      </c>
      <c r="BD16" s="116">
        <v>959.22300000000007</v>
      </c>
      <c r="BE16" s="116">
        <v>411.66700000000003</v>
      </c>
      <c r="BF16" s="733">
        <f t="shared" si="9"/>
        <v>175.18262972189146</v>
      </c>
      <c r="BG16" s="732">
        <f t="shared" si="10"/>
        <v>812.9860000000001</v>
      </c>
      <c r="BH16" s="5" t="s">
        <v>153</v>
      </c>
      <c r="BI16" s="91">
        <v>10</v>
      </c>
      <c r="BJ16" s="5" t="s">
        <v>5</v>
      </c>
      <c r="BK16" s="732">
        <v>603.31000000000006</v>
      </c>
      <c r="BL16" s="732">
        <v>3764.7560000000003</v>
      </c>
      <c r="BM16" s="732">
        <v>3974.4320000000002</v>
      </c>
      <c r="BN16" s="5" t="s">
        <v>153</v>
      </c>
      <c r="BP16" s="1698">
        <v>10</v>
      </c>
      <c r="BQ16" s="1696" t="s">
        <v>154</v>
      </c>
      <c r="BR16" s="1691" t="s">
        <v>1424</v>
      </c>
      <c r="BS16" s="1691">
        <v>261.01</v>
      </c>
      <c r="BT16" s="1691">
        <v>308.22800000000001</v>
      </c>
      <c r="BU16" s="1691">
        <f t="shared" si="11"/>
        <v>569.23800000000006</v>
      </c>
      <c r="BV16" s="1699">
        <v>107.76900000000001</v>
      </c>
      <c r="BW16" s="1699">
        <v>63.247999999999998</v>
      </c>
      <c r="BX16" s="1699">
        <v>157.73099999999999</v>
      </c>
      <c r="BY16" s="1694">
        <f t="shared" si="12"/>
        <v>328.74799999999999</v>
      </c>
      <c r="BZ16" s="1697" t="s">
        <v>26</v>
      </c>
      <c r="CA16" s="1807">
        <v>10</v>
      </c>
      <c r="CB16" s="1696" t="s">
        <v>154</v>
      </c>
      <c r="CC16" s="1699">
        <v>35.953000000000003</v>
      </c>
      <c r="CD16" s="1699">
        <v>121.39400000000001</v>
      </c>
      <c r="CE16" s="1694">
        <f t="shared" si="13"/>
        <v>157.34700000000001</v>
      </c>
      <c r="CF16" s="1699">
        <v>713.15</v>
      </c>
      <c r="CG16" s="1699">
        <v>1123.8789999999999</v>
      </c>
      <c r="CH16" s="1694">
        <f t="shared" si="14"/>
        <v>410.72899999999993</v>
      </c>
      <c r="CI16" s="1695">
        <f t="shared" si="15"/>
        <v>157.59363387786581</v>
      </c>
      <c r="CJ16" s="1696" t="s">
        <v>26</v>
      </c>
    </row>
    <row r="17" spans="1:88" s="7" customFormat="1" ht="17.100000000000001" customHeight="1">
      <c r="A17" s="91">
        <v>11</v>
      </c>
      <c r="B17" s="5" t="s">
        <v>26</v>
      </c>
      <c r="C17" s="5">
        <v>22224</v>
      </c>
      <c r="D17" s="739">
        <v>0</v>
      </c>
      <c r="E17" s="738">
        <v>0</v>
      </c>
      <c r="F17" s="738">
        <v>266.185</v>
      </c>
      <c r="G17" s="738">
        <v>305.125</v>
      </c>
      <c r="H17" s="739">
        <f t="shared" si="0"/>
        <v>571.30999999999995</v>
      </c>
      <c r="I17" s="5" t="s">
        <v>154</v>
      </c>
      <c r="J17" s="91">
        <v>11</v>
      </c>
      <c r="K17" s="5" t="s">
        <v>26</v>
      </c>
      <c r="L17" s="738">
        <v>110.60899999999999</v>
      </c>
      <c r="M17" s="738">
        <v>55.061</v>
      </c>
      <c r="N17" s="738">
        <v>133.78700000000001</v>
      </c>
      <c r="O17" s="739">
        <f t="shared" si="1"/>
        <v>299.45699999999999</v>
      </c>
      <c r="P17" s="738">
        <v>19.658999999999999</v>
      </c>
      <c r="Q17" s="738">
        <v>114.282</v>
      </c>
      <c r="R17" s="739">
        <f t="shared" si="2"/>
        <v>133.941</v>
      </c>
      <c r="S17" s="5" t="s">
        <v>154</v>
      </c>
      <c r="T17" s="91">
        <v>11</v>
      </c>
      <c r="U17" s="5" t="s">
        <v>26</v>
      </c>
      <c r="V17" s="738">
        <v>754.154</v>
      </c>
      <c r="W17" s="738">
        <v>1158.9170000000001</v>
      </c>
      <c r="X17" s="738">
        <f t="shared" si="3"/>
        <v>404.76300000000015</v>
      </c>
      <c r="Y17" s="737">
        <f t="shared" si="4"/>
        <v>153.67113348202093</v>
      </c>
      <c r="Z17" s="736">
        <f t="shared" si="5"/>
        <v>1076.943</v>
      </c>
      <c r="AA17" s="5" t="s">
        <v>154</v>
      </c>
      <c r="AB17" s="91">
        <v>11</v>
      </c>
      <c r="AC17" s="5" t="s">
        <v>26</v>
      </c>
      <c r="AD17" s="736">
        <f t="shared" si="6"/>
        <v>868.43600000000004</v>
      </c>
      <c r="AE17" s="736">
        <f t="shared" si="7"/>
        <v>-1076.943</v>
      </c>
      <c r="AF17" s="736">
        <f t="shared" si="8"/>
        <v>-868.43600000000004</v>
      </c>
      <c r="AG17" s="5" t="s">
        <v>154</v>
      </c>
      <c r="AH17" s="91">
        <v>11</v>
      </c>
      <c r="AI17" s="5" t="s">
        <v>26</v>
      </c>
      <c r="AJ17" s="734">
        <v>22224</v>
      </c>
      <c r="AK17" s="734" t="s">
        <v>1423</v>
      </c>
      <c r="AL17" s="734" t="s">
        <v>1422</v>
      </c>
      <c r="AM17" s="116">
        <v>266.00099999999998</v>
      </c>
      <c r="AN17" s="116">
        <v>303.69099999999997</v>
      </c>
      <c r="AO17" s="117">
        <v>569.69200000000001</v>
      </c>
      <c r="AP17" s="5" t="s">
        <v>154</v>
      </c>
      <c r="AQ17" s="91">
        <v>11</v>
      </c>
      <c r="AR17" s="5" t="s">
        <v>26</v>
      </c>
      <c r="AS17" s="116">
        <v>111.265</v>
      </c>
      <c r="AT17" s="116">
        <v>56.518999999999998</v>
      </c>
      <c r="AU17" s="116">
        <v>140.267</v>
      </c>
      <c r="AV17" s="117">
        <v>308.05099999999999</v>
      </c>
      <c r="AW17" s="116">
        <v>22.481999999999999</v>
      </c>
      <c r="AX17" s="116">
        <v>101.455</v>
      </c>
      <c r="AY17" s="117">
        <v>123.937</v>
      </c>
      <c r="AZ17" s="5" t="s">
        <v>154</v>
      </c>
      <c r="BA17" s="91">
        <v>11</v>
      </c>
      <c r="BB17" s="5" t="s">
        <v>26</v>
      </c>
      <c r="BC17" s="116">
        <v>757.02599999999995</v>
      </c>
      <c r="BD17" s="116">
        <v>1177.0740000000001</v>
      </c>
      <c r="BE17" s="116">
        <v>420.04800000000012</v>
      </c>
      <c r="BF17" s="733">
        <f t="shared" si="9"/>
        <v>155.48660151698888</v>
      </c>
      <c r="BG17" s="732">
        <f t="shared" si="10"/>
        <v>1077.749</v>
      </c>
      <c r="BH17" s="5" t="s">
        <v>154</v>
      </c>
      <c r="BI17" s="91">
        <v>11</v>
      </c>
      <c r="BJ17" s="5" t="s">
        <v>26</v>
      </c>
      <c r="BK17" s="732">
        <v>858.48099999999999</v>
      </c>
      <c r="BL17" s="732">
        <v>2979.7569999999996</v>
      </c>
      <c r="BM17" s="732">
        <v>3199.0249999999996</v>
      </c>
      <c r="BN17" s="5" t="s">
        <v>154</v>
      </c>
      <c r="BP17" s="1693">
        <v>11</v>
      </c>
      <c r="BQ17" s="1696" t="s">
        <v>155</v>
      </c>
      <c r="BR17" s="1691">
        <v>2239.4810000000002</v>
      </c>
      <c r="BS17" s="1691">
        <v>705.06700000000001</v>
      </c>
      <c r="BT17" s="1691">
        <v>579.48599999999999</v>
      </c>
      <c r="BU17" s="1691">
        <f t="shared" si="11"/>
        <v>1284.5529999999999</v>
      </c>
      <c r="BV17" s="1699">
        <v>126.946</v>
      </c>
      <c r="BW17" s="1699">
        <v>145.61799999999999</v>
      </c>
      <c r="BX17" s="1699">
        <v>380.05200000000002</v>
      </c>
      <c r="BY17" s="1694">
        <f t="shared" si="12"/>
        <v>652.61599999999999</v>
      </c>
      <c r="BZ17" s="1697" t="s">
        <v>27</v>
      </c>
      <c r="CA17" s="1806">
        <v>11</v>
      </c>
      <c r="CB17" s="1696" t="s">
        <v>155</v>
      </c>
      <c r="CC17" s="1699">
        <v>1086.242</v>
      </c>
      <c r="CD17" s="1699">
        <v>1426.616</v>
      </c>
      <c r="CE17" s="1694">
        <f t="shared" si="13"/>
        <v>2512.8580000000002</v>
      </c>
      <c r="CF17" s="1699">
        <v>1280.567</v>
      </c>
      <c r="CG17" s="1699">
        <v>1824.4679999999996</v>
      </c>
      <c r="CH17" s="1694">
        <f t="shared" si="14"/>
        <v>543.90099999999961</v>
      </c>
      <c r="CI17" s="1695">
        <f t="shared" si="15"/>
        <v>142.47345121340777</v>
      </c>
      <c r="CJ17" s="1696" t="s">
        <v>27</v>
      </c>
    </row>
    <row r="18" spans="1:88" s="7" customFormat="1" ht="17.100000000000001" customHeight="1">
      <c r="A18" s="91">
        <v>12</v>
      </c>
      <c r="B18" s="5" t="s">
        <v>27</v>
      </c>
      <c r="C18" s="5">
        <v>7972</v>
      </c>
      <c r="D18" s="739">
        <v>7970.0749999999998</v>
      </c>
      <c r="E18" s="738">
        <v>2239.4810000000002</v>
      </c>
      <c r="F18" s="738">
        <v>716.27200000000005</v>
      </c>
      <c r="G18" s="738">
        <v>585.63199999999995</v>
      </c>
      <c r="H18" s="739">
        <f t="shared" si="0"/>
        <v>1301.904</v>
      </c>
      <c r="I18" s="5" t="s">
        <v>155</v>
      </c>
      <c r="J18" s="91">
        <v>12</v>
      </c>
      <c r="K18" s="5" t="s">
        <v>27</v>
      </c>
      <c r="L18" s="738">
        <v>116.04300000000001</v>
      </c>
      <c r="M18" s="738">
        <v>99.537999999999997</v>
      </c>
      <c r="N18" s="738">
        <v>362.95400000000001</v>
      </c>
      <c r="O18" s="739">
        <f t="shared" si="1"/>
        <v>578.53500000000008</v>
      </c>
      <c r="P18" s="738">
        <v>1054.0139999999999</v>
      </c>
      <c r="Q18" s="738">
        <v>1410.547</v>
      </c>
      <c r="R18" s="739">
        <f t="shared" si="2"/>
        <v>2464.5609999999997</v>
      </c>
      <c r="S18" s="5" t="s">
        <v>155</v>
      </c>
      <c r="T18" s="91">
        <v>12</v>
      </c>
      <c r="U18" s="5" t="s">
        <v>27</v>
      </c>
      <c r="V18" s="738">
        <v>1385.5940000000001</v>
      </c>
      <c r="W18" s="738">
        <v>1811.5519999999999</v>
      </c>
      <c r="X18" s="738">
        <f t="shared" si="3"/>
        <v>425.95799999999986</v>
      </c>
      <c r="Y18" s="737">
        <f t="shared" si="4"/>
        <v>130.74190563758214</v>
      </c>
      <c r="Z18" s="736">
        <f t="shared" si="5"/>
        <v>4312.6469999999999</v>
      </c>
      <c r="AA18" s="5" t="s">
        <v>155</v>
      </c>
      <c r="AB18" s="91">
        <v>12</v>
      </c>
      <c r="AC18" s="5" t="s">
        <v>27</v>
      </c>
      <c r="AD18" s="736">
        <f t="shared" si="6"/>
        <v>2796.1410000000001</v>
      </c>
      <c r="AE18" s="736">
        <f t="shared" si="7"/>
        <v>3657.4279999999999</v>
      </c>
      <c r="AF18" s="736">
        <f t="shared" si="8"/>
        <v>5173.9339999999993</v>
      </c>
      <c r="AG18" s="5" t="s">
        <v>155</v>
      </c>
      <c r="AH18" s="91">
        <v>12</v>
      </c>
      <c r="AI18" s="5" t="s">
        <v>27</v>
      </c>
      <c r="AJ18" s="734">
        <v>7972</v>
      </c>
      <c r="AK18" s="734">
        <v>7970.0750000000007</v>
      </c>
      <c r="AL18" s="734">
        <v>2239.4810000000002</v>
      </c>
      <c r="AM18" s="116">
        <v>669.64</v>
      </c>
      <c r="AN18" s="116">
        <v>583.322</v>
      </c>
      <c r="AO18" s="117">
        <v>1252.962</v>
      </c>
      <c r="AP18" s="5" t="s">
        <v>155</v>
      </c>
      <c r="AQ18" s="91">
        <v>12</v>
      </c>
      <c r="AR18" s="5" t="s">
        <v>27</v>
      </c>
      <c r="AS18" s="116">
        <v>110.172</v>
      </c>
      <c r="AT18" s="116">
        <v>102.07299999999999</v>
      </c>
      <c r="AU18" s="116">
        <v>352.303</v>
      </c>
      <c r="AV18" s="117">
        <v>564.548</v>
      </c>
      <c r="AW18" s="116">
        <v>1022.6180000000001</v>
      </c>
      <c r="AX18" s="116">
        <v>1439.2049999999999</v>
      </c>
      <c r="AY18" s="117">
        <v>2461.8229999999999</v>
      </c>
      <c r="AZ18" s="5" t="s">
        <v>155</v>
      </c>
      <c r="BA18" s="91">
        <v>12</v>
      </c>
      <c r="BB18" s="5" t="s">
        <v>27</v>
      </c>
      <c r="BC18" s="116">
        <v>1451.261</v>
      </c>
      <c r="BD18" s="116">
        <v>2044.9659999999999</v>
      </c>
      <c r="BE18" s="116">
        <v>593.70499999999993</v>
      </c>
      <c r="BF18" s="733">
        <f t="shared" si="9"/>
        <v>140.90959517274976</v>
      </c>
      <c r="BG18" s="732">
        <f t="shared" si="10"/>
        <v>4367.4599999999991</v>
      </c>
      <c r="BH18" s="5" t="s">
        <v>155</v>
      </c>
      <c r="BI18" s="91">
        <v>12</v>
      </c>
      <c r="BJ18" s="5" t="s">
        <v>27</v>
      </c>
      <c r="BK18" s="732">
        <v>2890.4659999999999</v>
      </c>
      <c r="BL18" s="732">
        <v>3602.6150000000016</v>
      </c>
      <c r="BM18" s="732">
        <v>5079.6090000000004</v>
      </c>
      <c r="BN18" s="5" t="s">
        <v>155</v>
      </c>
      <c r="BP18" s="1698">
        <v>12</v>
      </c>
      <c r="BQ18" s="1696" t="s">
        <v>156</v>
      </c>
      <c r="BR18" s="1691">
        <v>3073.3760000000002</v>
      </c>
      <c r="BS18" s="1691">
        <v>1504.894</v>
      </c>
      <c r="BT18" s="1691">
        <v>769.43700000000001</v>
      </c>
      <c r="BU18" s="1691">
        <f t="shared" si="11"/>
        <v>2274.3310000000001</v>
      </c>
      <c r="BV18" s="1699">
        <v>872.48</v>
      </c>
      <c r="BW18" s="1699">
        <v>251.02</v>
      </c>
      <c r="BX18" s="1699">
        <v>403.27199999999999</v>
      </c>
      <c r="BY18" s="1694">
        <f t="shared" si="12"/>
        <v>1526.7719999999999</v>
      </c>
      <c r="BZ18" s="1697" t="s">
        <v>28</v>
      </c>
      <c r="CA18" s="1807">
        <v>12</v>
      </c>
      <c r="CB18" s="1696" t="s">
        <v>156</v>
      </c>
      <c r="CC18" s="1699">
        <v>571.35500000000002</v>
      </c>
      <c r="CD18" s="1699">
        <v>939.80499999999995</v>
      </c>
      <c r="CE18" s="1694">
        <f t="shared" si="13"/>
        <v>1511.1599999999999</v>
      </c>
      <c r="CF18" s="1699">
        <v>10664.429</v>
      </c>
      <c r="CG18" s="1699">
        <v>13551.038999999999</v>
      </c>
      <c r="CH18" s="1694">
        <f t="shared" si="14"/>
        <v>2886.6099999999988</v>
      </c>
      <c r="CI18" s="1695">
        <f t="shared" si="15"/>
        <v>127.06764703482951</v>
      </c>
      <c r="CJ18" s="1696" t="s">
        <v>28</v>
      </c>
    </row>
    <row r="19" spans="1:88" s="7" customFormat="1" ht="17.100000000000001" customHeight="1">
      <c r="A19" s="91">
        <v>13</v>
      </c>
      <c r="B19" s="5" t="s">
        <v>28</v>
      </c>
      <c r="C19" s="5">
        <v>19179</v>
      </c>
      <c r="D19" s="739">
        <v>19050.067999999999</v>
      </c>
      <c r="E19" s="738">
        <v>3073.3760000000002</v>
      </c>
      <c r="F19" s="738">
        <v>1475.9079999999999</v>
      </c>
      <c r="G19" s="738">
        <v>793.35299999999995</v>
      </c>
      <c r="H19" s="739">
        <f t="shared" si="0"/>
        <v>2269.261</v>
      </c>
      <c r="I19" s="5" t="s">
        <v>156</v>
      </c>
      <c r="J19" s="91">
        <v>13</v>
      </c>
      <c r="K19" s="5" t="s">
        <v>28</v>
      </c>
      <c r="L19" s="738">
        <v>907.00400000000002</v>
      </c>
      <c r="M19" s="738">
        <v>276.10199999999998</v>
      </c>
      <c r="N19" s="738">
        <v>408.84100000000001</v>
      </c>
      <c r="O19" s="739">
        <f t="shared" si="1"/>
        <v>1591.9470000000001</v>
      </c>
      <c r="P19" s="738">
        <v>655.90200000000004</v>
      </c>
      <c r="Q19" s="738">
        <v>1453.241</v>
      </c>
      <c r="R19" s="739">
        <f t="shared" si="2"/>
        <v>2109.143</v>
      </c>
      <c r="S19" s="5" t="s">
        <v>156</v>
      </c>
      <c r="T19" s="91">
        <v>13</v>
      </c>
      <c r="U19" s="5" t="s">
        <v>28</v>
      </c>
      <c r="V19" s="738">
        <v>10006.341</v>
      </c>
      <c r="W19" s="738">
        <v>12008.579000000002</v>
      </c>
      <c r="X19" s="738">
        <f t="shared" si="3"/>
        <v>2002.2380000000012</v>
      </c>
      <c r="Y19" s="737">
        <f t="shared" si="4"/>
        <v>120.00969185439514</v>
      </c>
      <c r="Z19" s="736">
        <f t="shared" si="5"/>
        <v>12800.427</v>
      </c>
      <c r="AA19" s="5" t="s">
        <v>156</v>
      </c>
      <c r="AB19" s="91">
        <v>13</v>
      </c>
      <c r="AC19" s="5" t="s">
        <v>28</v>
      </c>
      <c r="AD19" s="736">
        <f t="shared" si="6"/>
        <v>11459.582</v>
      </c>
      <c r="AE19" s="736">
        <f t="shared" si="7"/>
        <v>6249.6409999999996</v>
      </c>
      <c r="AF19" s="736">
        <f t="shared" si="8"/>
        <v>7590.485999999999</v>
      </c>
      <c r="AG19" s="5" t="s">
        <v>156</v>
      </c>
      <c r="AH19" s="91">
        <v>13</v>
      </c>
      <c r="AI19" s="5" t="s">
        <v>28</v>
      </c>
      <c r="AJ19" s="734">
        <v>19179</v>
      </c>
      <c r="AK19" s="734">
        <v>19050.067999999999</v>
      </c>
      <c r="AL19" s="734">
        <v>3073.3760000000002</v>
      </c>
      <c r="AM19" s="116">
        <v>1494.5060000000001</v>
      </c>
      <c r="AN19" s="116">
        <v>793.01300000000003</v>
      </c>
      <c r="AO19" s="117">
        <v>2287.5190000000002</v>
      </c>
      <c r="AP19" s="5" t="s">
        <v>156</v>
      </c>
      <c r="AQ19" s="91">
        <v>13</v>
      </c>
      <c r="AR19" s="5" t="s">
        <v>28</v>
      </c>
      <c r="AS19" s="116">
        <v>905.31299999999999</v>
      </c>
      <c r="AT19" s="116">
        <v>275.06099999999998</v>
      </c>
      <c r="AU19" s="116">
        <v>400.29300000000001</v>
      </c>
      <c r="AV19" s="117">
        <v>1580.6669999999999</v>
      </c>
      <c r="AW19" s="116">
        <v>692.23299999999995</v>
      </c>
      <c r="AX19" s="116">
        <v>1561.2729999999999</v>
      </c>
      <c r="AY19" s="117">
        <v>2253.5059999999999</v>
      </c>
      <c r="AZ19" s="5" t="s">
        <v>156</v>
      </c>
      <c r="BA19" s="91">
        <v>13</v>
      </c>
      <c r="BB19" s="5" t="s">
        <v>28</v>
      </c>
      <c r="BC19" s="116">
        <v>9855</v>
      </c>
      <c r="BD19" s="116">
        <v>11778.938000000002</v>
      </c>
      <c r="BE19" s="116">
        <v>1923.9380000000019</v>
      </c>
      <c r="BF19" s="733">
        <f t="shared" si="9"/>
        <v>119.52245560629125</v>
      </c>
      <c r="BG19" s="732">
        <f t="shared" si="10"/>
        <v>12783.86</v>
      </c>
      <c r="BH19" s="5" t="s">
        <v>156</v>
      </c>
      <c r="BI19" s="91">
        <v>13</v>
      </c>
      <c r="BJ19" s="5" t="s">
        <v>28</v>
      </c>
      <c r="BK19" s="732">
        <v>11416.272999999999</v>
      </c>
      <c r="BL19" s="732">
        <v>6266.2079999999987</v>
      </c>
      <c r="BM19" s="732">
        <v>7633.7950000000001</v>
      </c>
      <c r="BN19" s="5" t="s">
        <v>156</v>
      </c>
      <c r="BP19" s="1698">
        <v>13</v>
      </c>
      <c r="BQ19" s="1696" t="s">
        <v>157</v>
      </c>
      <c r="BR19" s="1691">
        <v>1081.509</v>
      </c>
      <c r="BS19" s="1691">
        <v>559.24699999999996</v>
      </c>
      <c r="BT19" s="1691">
        <v>10.282999999999999</v>
      </c>
      <c r="BU19" s="1691">
        <f t="shared" si="11"/>
        <v>569.53</v>
      </c>
      <c r="BV19" s="1699"/>
      <c r="BW19" s="1699">
        <v>2.1190000000000002</v>
      </c>
      <c r="BX19" s="1699">
        <v>96.497</v>
      </c>
      <c r="BY19" s="1694">
        <f t="shared" si="12"/>
        <v>98.616</v>
      </c>
      <c r="BZ19" s="1697" t="s">
        <v>6</v>
      </c>
      <c r="CA19" s="1807">
        <v>13</v>
      </c>
      <c r="CB19" s="1696" t="s">
        <v>157</v>
      </c>
      <c r="CC19" s="1699">
        <v>45.540999999999997</v>
      </c>
      <c r="CD19" s="1699">
        <v>57.465000000000003</v>
      </c>
      <c r="CE19" s="1694">
        <f t="shared" si="13"/>
        <v>103.006</v>
      </c>
      <c r="CF19" s="1699">
        <v>2033.626</v>
      </c>
      <c r="CG19" s="1699">
        <v>2571.0949999999998</v>
      </c>
      <c r="CH19" s="1694">
        <f t="shared" si="14"/>
        <v>537.46899999999982</v>
      </c>
      <c r="CI19" s="1695">
        <f t="shared" si="15"/>
        <v>126.42909758234796</v>
      </c>
      <c r="CJ19" s="1696" t="s">
        <v>6</v>
      </c>
    </row>
    <row r="20" spans="1:88" s="7" customFormat="1" ht="17.100000000000001" customHeight="1">
      <c r="A20" s="91">
        <v>14</v>
      </c>
      <c r="B20" s="5" t="s">
        <v>6</v>
      </c>
      <c r="C20" s="5">
        <v>3886</v>
      </c>
      <c r="D20" s="739">
        <v>3886.2870000000003</v>
      </c>
      <c r="E20" s="738">
        <v>1081.509</v>
      </c>
      <c r="F20" s="738">
        <v>541.18200000000002</v>
      </c>
      <c r="G20" s="738">
        <v>13.1</v>
      </c>
      <c r="H20" s="739">
        <f t="shared" si="0"/>
        <v>554.28200000000004</v>
      </c>
      <c r="I20" s="5" t="s">
        <v>157</v>
      </c>
      <c r="J20" s="91">
        <v>14</v>
      </c>
      <c r="K20" s="5" t="s">
        <v>6</v>
      </c>
      <c r="L20" s="738"/>
      <c r="M20" s="738">
        <v>2.6629999999999998</v>
      </c>
      <c r="N20" s="738">
        <v>99.498999999999995</v>
      </c>
      <c r="O20" s="739">
        <f t="shared" si="1"/>
        <v>102.16199999999999</v>
      </c>
      <c r="P20" s="738">
        <v>55.258000000000003</v>
      </c>
      <c r="Q20" s="738">
        <v>70.003</v>
      </c>
      <c r="R20" s="739">
        <f t="shared" si="2"/>
        <v>125.261</v>
      </c>
      <c r="S20" s="5" t="s">
        <v>157</v>
      </c>
      <c r="T20" s="91">
        <v>14</v>
      </c>
      <c r="U20" s="5" t="s">
        <v>6</v>
      </c>
      <c r="V20" s="738">
        <v>2023.0730000000001</v>
      </c>
      <c r="W20" s="738">
        <v>2627.5769999999998</v>
      </c>
      <c r="X20" s="738">
        <f t="shared" si="3"/>
        <v>604.50399999999968</v>
      </c>
      <c r="Y20" s="737">
        <f t="shared" si="4"/>
        <v>129.88048379865677</v>
      </c>
      <c r="Z20" s="736">
        <f t="shared" si="5"/>
        <v>2250.4960000000001</v>
      </c>
      <c r="AA20" s="5" t="s">
        <v>157</v>
      </c>
      <c r="AB20" s="91">
        <v>14</v>
      </c>
      <c r="AC20" s="5" t="s">
        <v>6</v>
      </c>
      <c r="AD20" s="736">
        <f t="shared" si="6"/>
        <v>2093.076</v>
      </c>
      <c r="AE20" s="736">
        <f t="shared" si="7"/>
        <v>1635.7910000000002</v>
      </c>
      <c r="AF20" s="736">
        <f t="shared" si="8"/>
        <v>1793.2110000000002</v>
      </c>
      <c r="AG20" s="5" t="s">
        <v>157</v>
      </c>
      <c r="AH20" s="91">
        <v>14</v>
      </c>
      <c r="AI20" s="5" t="s">
        <v>6</v>
      </c>
      <c r="AJ20" s="734">
        <v>3886</v>
      </c>
      <c r="AK20" s="734">
        <v>3886.2870000000003</v>
      </c>
      <c r="AL20" s="734">
        <v>1081.509</v>
      </c>
      <c r="AM20" s="116">
        <v>546.149</v>
      </c>
      <c r="AN20" s="116">
        <v>11.78</v>
      </c>
      <c r="AO20" s="117">
        <v>557.92899999999997</v>
      </c>
      <c r="AP20" s="5" t="s">
        <v>157</v>
      </c>
      <c r="AQ20" s="91">
        <v>14</v>
      </c>
      <c r="AR20" s="5" t="s">
        <v>6</v>
      </c>
      <c r="AS20" s="116"/>
      <c r="AT20" s="116">
        <v>2.4500000000000002</v>
      </c>
      <c r="AU20" s="116">
        <v>101.379</v>
      </c>
      <c r="AV20" s="117">
        <v>103.82900000000001</v>
      </c>
      <c r="AW20" s="116">
        <v>55.53</v>
      </c>
      <c r="AX20" s="116">
        <v>72.007999999999996</v>
      </c>
      <c r="AY20" s="117">
        <v>127.538</v>
      </c>
      <c r="AZ20" s="5" t="s">
        <v>157</v>
      </c>
      <c r="BA20" s="91">
        <v>14</v>
      </c>
      <c r="BB20" s="5" t="s">
        <v>6</v>
      </c>
      <c r="BC20" s="116">
        <v>2015.482</v>
      </c>
      <c r="BD20" s="116">
        <v>2584.0060000000003</v>
      </c>
      <c r="BE20" s="116">
        <v>568.52400000000034</v>
      </c>
      <c r="BF20" s="733">
        <f t="shared" si="9"/>
        <v>128.20784308666612</v>
      </c>
      <c r="BG20" s="732">
        <f t="shared" si="10"/>
        <v>2246.8490000000002</v>
      </c>
      <c r="BH20" s="5" t="s">
        <v>157</v>
      </c>
      <c r="BI20" s="91">
        <v>14</v>
      </c>
      <c r="BJ20" s="5" t="s">
        <v>6</v>
      </c>
      <c r="BK20" s="732">
        <v>2087.4899999999998</v>
      </c>
      <c r="BL20" s="732">
        <v>1639.4380000000001</v>
      </c>
      <c r="BM20" s="732">
        <v>1798.7970000000005</v>
      </c>
      <c r="BN20" s="5" t="s">
        <v>157</v>
      </c>
      <c r="BP20" s="1698">
        <v>14</v>
      </c>
      <c r="BQ20" s="1696" t="s">
        <v>158</v>
      </c>
      <c r="BR20" s="1691">
        <v>8700.3119999999999</v>
      </c>
      <c r="BS20" s="1691">
        <v>2269.1480000000001</v>
      </c>
      <c r="BT20" s="1691">
        <v>1349.9369999999999</v>
      </c>
      <c r="BU20" s="1691">
        <f t="shared" si="11"/>
        <v>3619.085</v>
      </c>
      <c r="BV20" s="1699">
        <v>1316.395</v>
      </c>
      <c r="BW20" s="1699">
        <v>21.192</v>
      </c>
      <c r="BX20" s="1699">
        <v>933.88</v>
      </c>
      <c r="BY20" s="1694">
        <f t="shared" si="12"/>
        <v>2271.4670000000001</v>
      </c>
      <c r="BZ20" s="1697" t="s">
        <v>18</v>
      </c>
      <c r="CA20" s="1807">
        <v>14</v>
      </c>
      <c r="CB20" s="1696" t="s">
        <v>158</v>
      </c>
      <c r="CC20" s="1699">
        <v>466.92200000000003</v>
      </c>
      <c r="CD20" s="1699">
        <v>493.45</v>
      </c>
      <c r="CE20" s="1694">
        <f t="shared" si="13"/>
        <v>960.37200000000007</v>
      </c>
      <c r="CF20" s="1699">
        <v>15205.066999999999</v>
      </c>
      <c r="CG20" s="1699">
        <v>26115.071</v>
      </c>
      <c r="CH20" s="1694">
        <f t="shared" si="14"/>
        <v>10910.004000000001</v>
      </c>
      <c r="CI20" s="1695">
        <f t="shared" si="15"/>
        <v>171.75242305739263</v>
      </c>
      <c r="CJ20" s="1696" t="s">
        <v>18</v>
      </c>
    </row>
    <row r="21" spans="1:88" s="7" customFormat="1" ht="17.100000000000001" customHeight="1">
      <c r="A21" s="91">
        <v>15</v>
      </c>
      <c r="B21" s="5" t="s">
        <v>18</v>
      </c>
      <c r="C21" s="5">
        <v>30825</v>
      </c>
      <c r="D21" s="739">
        <v>30756.303400000004</v>
      </c>
      <c r="E21" s="738">
        <v>8692.3670000000002</v>
      </c>
      <c r="F21" s="738">
        <v>2150.71</v>
      </c>
      <c r="G21" s="738">
        <v>1360.09</v>
      </c>
      <c r="H21" s="739">
        <f t="shared" si="0"/>
        <v>3510.8</v>
      </c>
      <c r="I21" s="5" t="s">
        <v>158</v>
      </c>
      <c r="J21" s="91">
        <v>15</v>
      </c>
      <c r="K21" s="5" t="s">
        <v>18</v>
      </c>
      <c r="L21" s="738">
        <v>1303.596</v>
      </c>
      <c r="M21" s="738">
        <v>15.852</v>
      </c>
      <c r="N21" s="738">
        <v>1016.575</v>
      </c>
      <c r="O21" s="739">
        <f t="shared" si="1"/>
        <v>2336.0230000000001</v>
      </c>
      <c r="P21" s="738">
        <v>506.96440000000001</v>
      </c>
      <c r="Q21" s="738">
        <v>560.75599999999997</v>
      </c>
      <c r="R21" s="739">
        <f t="shared" si="2"/>
        <v>1067.7203999999999</v>
      </c>
      <c r="S21" s="5" t="s">
        <v>158</v>
      </c>
      <c r="T21" s="91">
        <v>15</v>
      </c>
      <c r="U21" s="5" t="s">
        <v>18</v>
      </c>
      <c r="V21" s="738">
        <v>15149.393</v>
      </c>
      <c r="W21" s="738">
        <v>23714.008000000002</v>
      </c>
      <c r="X21" s="738">
        <f t="shared" si="3"/>
        <v>8564.6150000000016</v>
      </c>
      <c r="Y21" s="737">
        <f t="shared" si="4"/>
        <v>156.53437731795592</v>
      </c>
      <c r="Z21" s="736">
        <f t="shared" si="5"/>
        <v>17249.540399999998</v>
      </c>
      <c r="AA21" s="5" t="s">
        <v>158</v>
      </c>
      <c r="AB21" s="91">
        <v>15</v>
      </c>
      <c r="AC21" s="5" t="s">
        <v>18</v>
      </c>
      <c r="AD21" s="736">
        <f t="shared" si="6"/>
        <v>15710.148999999999</v>
      </c>
      <c r="AE21" s="736">
        <f t="shared" si="7"/>
        <v>13506.763000000006</v>
      </c>
      <c r="AF21" s="736">
        <f t="shared" si="8"/>
        <v>15046.154400000005</v>
      </c>
      <c r="AG21" s="5" t="s">
        <v>158</v>
      </c>
      <c r="AH21" s="91">
        <v>15</v>
      </c>
      <c r="AI21" s="5" t="s">
        <v>18</v>
      </c>
      <c r="AJ21" s="734">
        <v>30825</v>
      </c>
      <c r="AK21" s="734">
        <v>30756.303</v>
      </c>
      <c r="AL21" s="734">
        <v>8692.2340000000004</v>
      </c>
      <c r="AM21" s="116">
        <v>2183.2530000000002</v>
      </c>
      <c r="AN21" s="116">
        <v>1343.518</v>
      </c>
      <c r="AO21" s="117">
        <v>3526.7710000000002</v>
      </c>
      <c r="AP21" s="5" t="s">
        <v>158</v>
      </c>
      <c r="AQ21" s="91">
        <v>15</v>
      </c>
      <c r="AR21" s="5" t="s">
        <v>18</v>
      </c>
      <c r="AS21" s="116">
        <v>1306.1089999999999</v>
      </c>
      <c r="AT21" s="116">
        <v>20.327000000000002</v>
      </c>
      <c r="AU21" s="116">
        <v>1001.71</v>
      </c>
      <c r="AV21" s="117">
        <v>2328.1459999999997</v>
      </c>
      <c r="AW21" s="116">
        <v>481.33600000000001</v>
      </c>
      <c r="AX21" s="116">
        <v>499.81200000000001</v>
      </c>
      <c r="AY21" s="117">
        <v>981.14800000000002</v>
      </c>
      <c r="AZ21" s="5" t="s">
        <v>158</v>
      </c>
      <c r="BA21" s="91">
        <v>15</v>
      </c>
      <c r="BB21" s="5" t="s">
        <v>18</v>
      </c>
      <c r="BC21" s="116">
        <v>15228.004000000001</v>
      </c>
      <c r="BD21" s="116">
        <v>24214.048000000003</v>
      </c>
      <c r="BE21" s="116">
        <v>8986.0440000000017</v>
      </c>
      <c r="BF21" s="733">
        <f t="shared" si="9"/>
        <v>159.00999237982865</v>
      </c>
      <c r="BG21" s="732">
        <f t="shared" si="10"/>
        <v>17231.189000000002</v>
      </c>
      <c r="BH21" s="5" t="s">
        <v>158</v>
      </c>
      <c r="BI21" s="91">
        <v>15</v>
      </c>
      <c r="BJ21" s="5" t="s">
        <v>18</v>
      </c>
      <c r="BK21" s="732">
        <v>15727.816000000001</v>
      </c>
      <c r="BL21" s="732">
        <v>13525.113999999998</v>
      </c>
      <c r="BM21" s="732">
        <v>15028.486999999999</v>
      </c>
      <c r="BN21" s="5" t="s">
        <v>158</v>
      </c>
      <c r="BP21" s="1698">
        <v>15</v>
      </c>
      <c r="BQ21" s="1696" t="s">
        <v>159</v>
      </c>
      <c r="BR21" s="1691">
        <v>5174.1000000000004</v>
      </c>
      <c r="BS21" s="1691">
        <v>1692.3</v>
      </c>
      <c r="BT21" s="1691">
        <v>1849.4</v>
      </c>
      <c r="BU21" s="1691">
        <f t="shared" si="11"/>
        <v>3541.7</v>
      </c>
      <c r="BV21" s="1699">
        <v>1323.2</v>
      </c>
      <c r="BW21" s="1699">
        <v>272</v>
      </c>
      <c r="BX21" s="1699">
        <v>924</v>
      </c>
      <c r="BY21" s="1694">
        <f t="shared" si="12"/>
        <v>2519.1999999999998</v>
      </c>
      <c r="BZ21" s="1697" t="s">
        <v>29</v>
      </c>
      <c r="CA21" s="1807">
        <v>15</v>
      </c>
      <c r="CB21" s="1696" t="s">
        <v>159</v>
      </c>
      <c r="CC21" s="1699">
        <v>1260.2</v>
      </c>
      <c r="CD21" s="1699">
        <v>1447.9</v>
      </c>
      <c r="CE21" s="1694">
        <f t="shared" si="13"/>
        <v>2708.1000000000004</v>
      </c>
      <c r="CF21" s="1699">
        <v>16815.099999999999</v>
      </c>
      <c r="CG21" s="1699">
        <v>19139.203844947177</v>
      </c>
      <c r="CH21" s="1694">
        <f t="shared" si="14"/>
        <v>2324.103844947178</v>
      </c>
      <c r="CI21" s="1695">
        <f t="shared" si="15"/>
        <v>113.82152853653666</v>
      </c>
      <c r="CJ21" s="1696" t="s">
        <v>29</v>
      </c>
    </row>
    <row r="22" spans="1:88" s="7" customFormat="1" ht="17.100000000000001" customHeight="1">
      <c r="A22" s="91">
        <v>16</v>
      </c>
      <c r="B22" s="5" t="s">
        <v>29</v>
      </c>
      <c r="C22" s="5">
        <v>30771</v>
      </c>
      <c r="D22" s="739">
        <v>30757.9</v>
      </c>
      <c r="E22" s="738">
        <v>5194.8</v>
      </c>
      <c r="F22" s="738">
        <v>1520.6</v>
      </c>
      <c r="G22" s="738">
        <v>1731.1</v>
      </c>
      <c r="H22" s="739">
        <f t="shared" si="0"/>
        <v>3251.7</v>
      </c>
      <c r="I22" s="5" t="s">
        <v>159</v>
      </c>
      <c r="J22" s="91">
        <v>16</v>
      </c>
      <c r="K22" s="5" t="s">
        <v>29</v>
      </c>
      <c r="L22" s="738">
        <v>1249.4000000000001</v>
      </c>
      <c r="M22" s="738">
        <v>251.3</v>
      </c>
      <c r="N22" s="738">
        <v>886.8</v>
      </c>
      <c r="O22" s="739">
        <f t="shared" si="1"/>
        <v>2387.5</v>
      </c>
      <c r="P22" s="738">
        <v>1255.3</v>
      </c>
      <c r="Q22" s="738">
        <v>1476.9</v>
      </c>
      <c r="R22" s="739">
        <f t="shared" si="2"/>
        <v>2732.2</v>
      </c>
      <c r="S22" s="5" t="s">
        <v>159</v>
      </c>
      <c r="T22" s="91">
        <v>16</v>
      </c>
      <c r="U22" s="5" t="s">
        <v>29</v>
      </c>
      <c r="V22" s="738">
        <v>17191.7</v>
      </c>
      <c r="W22" s="738">
        <v>23466.967578172938</v>
      </c>
      <c r="X22" s="738">
        <f t="shared" si="3"/>
        <v>6275.2675781729376</v>
      </c>
      <c r="Y22" s="737">
        <f t="shared" si="4"/>
        <v>136.50172803255606</v>
      </c>
      <c r="Z22" s="736">
        <f t="shared" si="5"/>
        <v>21062</v>
      </c>
      <c r="AA22" s="5" t="s">
        <v>159</v>
      </c>
      <c r="AB22" s="91">
        <v>16</v>
      </c>
      <c r="AC22" s="5" t="s">
        <v>29</v>
      </c>
      <c r="AD22" s="736">
        <f t="shared" si="6"/>
        <v>18668.600000000002</v>
      </c>
      <c r="AE22" s="736">
        <f t="shared" si="7"/>
        <v>9695.9000000000015</v>
      </c>
      <c r="AF22" s="736">
        <f t="shared" si="8"/>
        <v>12089.3</v>
      </c>
      <c r="AG22" s="5" t="s">
        <v>159</v>
      </c>
      <c r="AH22" s="91">
        <v>16</v>
      </c>
      <c r="AI22" s="5" t="s">
        <v>29</v>
      </c>
      <c r="AJ22" s="734">
        <v>30771</v>
      </c>
      <c r="AK22" s="734">
        <v>30758.800000000003</v>
      </c>
      <c r="AL22" s="734">
        <v>5194.8</v>
      </c>
      <c r="AM22" s="116">
        <v>1642.4</v>
      </c>
      <c r="AN22" s="116">
        <v>1822.1</v>
      </c>
      <c r="AO22" s="117">
        <v>3464.5</v>
      </c>
      <c r="AP22" s="5" t="s">
        <v>159</v>
      </c>
      <c r="AQ22" s="91">
        <v>16</v>
      </c>
      <c r="AR22" s="5" t="s">
        <v>29</v>
      </c>
      <c r="AS22" s="116">
        <v>1351.5</v>
      </c>
      <c r="AT22" s="116">
        <v>253.9</v>
      </c>
      <c r="AU22" s="116">
        <v>924.8</v>
      </c>
      <c r="AV22" s="117">
        <v>2530.1999999999998</v>
      </c>
      <c r="AW22" s="116">
        <v>1257.5999999999999</v>
      </c>
      <c r="AX22" s="116">
        <v>1401.3</v>
      </c>
      <c r="AY22" s="117">
        <v>2658.8999999999996</v>
      </c>
      <c r="AZ22" s="5" t="s">
        <v>159</v>
      </c>
      <c r="BA22" s="91">
        <v>16</v>
      </c>
      <c r="BB22" s="5" t="s">
        <v>29</v>
      </c>
      <c r="BC22" s="116">
        <v>16910.400000000001</v>
      </c>
      <c r="BD22" s="116">
        <v>23947.327844947176</v>
      </c>
      <c r="BE22" s="116">
        <v>7036.9278449471749</v>
      </c>
      <c r="BF22" s="733">
        <f t="shared" si="9"/>
        <v>141.61301829020704</v>
      </c>
      <c r="BG22" s="732">
        <f t="shared" si="10"/>
        <v>20748</v>
      </c>
      <c r="BH22" s="5" t="s">
        <v>159</v>
      </c>
      <c r="BI22" s="91">
        <v>16</v>
      </c>
      <c r="BJ22" s="5" t="s">
        <v>29</v>
      </c>
      <c r="BK22" s="732">
        <v>18311.7</v>
      </c>
      <c r="BL22" s="732">
        <v>10010.800000000003</v>
      </c>
      <c r="BM22" s="732">
        <v>12447.100000000002</v>
      </c>
      <c r="BN22" s="5" t="s">
        <v>159</v>
      </c>
      <c r="BP22" s="1693">
        <v>16</v>
      </c>
      <c r="BQ22" s="1696" t="s">
        <v>160</v>
      </c>
      <c r="BR22" s="1691">
        <v>1684.7</v>
      </c>
      <c r="BS22" s="1691">
        <v>25.96</v>
      </c>
      <c r="BT22" s="1691">
        <v>0.94</v>
      </c>
      <c r="BU22" s="1691">
        <f t="shared" si="11"/>
        <v>26.900000000000002</v>
      </c>
      <c r="BV22" s="1699">
        <v>1.37</v>
      </c>
      <c r="BW22" s="1699">
        <v>5.9450000000000003</v>
      </c>
      <c r="BX22" s="1699">
        <v>0.74</v>
      </c>
      <c r="BY22" s="1694">
        <f t="shared" si="12"/>
        <v>8.0549999999999997</v>
      </c>
      <c r="BZ22" s="1697" t="s">
        <v>19</v>
      </c>
      <c r="CA22" s="1806">
        <v>16</v>
      </c>
      <c r="CB22" s="1696" t="s">
        <v>160</v>
      </c>
      <c r="CC22" s="1699">
        <v>0.06</v>
      </c>
      <c r="CD22" s="1699">
        <v>0.14000000000000001</v>
      </c>
      <c r="CE22" s="1694">
        <f t="shared" si="13"/>
        <v>0.2</v>
      </c>
      <c r="CF22" s="1699">
        <v>441.452</v>
      </c>
      <c r="CG22" s="1699">
        <v>441.452</v>
      </c>
      <c r="CH22" s="1694">
        <f t="shared" si="14"/>
        <v>0</v>
      </c>
      <c r="CI22" s="1695">
        <f t="shared" si="15"/>
        <v>100</v>
      </c>
      <c r="CJ22" s="1696" t="s">
        <v>19</v>
      </c>
    </row>
    <row r="23" spans="1:88" s="7" customFormat="1" ht="17.100000000000001" customHeight="1">
      <c r="A23" s="91">
        <v>17</v>
      </c>
      <c r="B23" s="5" t="s">
        <v>19</v>
      </c>
      <c r="C23" s="5">
        <v>2233</v>
      </c>
      <c r="D23" s="739">
        <v>2171.7750000000005</v>
      </c>
      <c r="E23" s="738">
        <v>1699.4</v>
      </c>
      <c r="F23" s="738">
        <v>25.96</v>
      </c>
      <c r="G23" s="738">
        <v>0.94</v>
      </c>
      <c r="H23" s="739">
        <f t="shared" si="0"/>
        <v>26.900000000000002</v>
      </c>
      <c r="I23" s="5" t="s">
        <v>160</v>
      </c>
      <c r="J23" s="91">
        <v>17</v>
      </c>
      <c r="K23" s="5" t="s">
        <v>19</v>
      </c>
      <c r="L23" s="738">
        <v>1.37</v>
      </c>
      <c r="M23" s="738">
        <v>5.9450000000000003</v>
      </c>
      <c r="N23" s="738">
        <v>0.74</v>
      </c>
      <c r="O23" s="739">
        <f t="shared" si="1"/>
        <v>8.0549999999999997</v>
      </c>
      <c r="P23" s="738">
        <v>0.06</v>
      </c>
      <c r="Q23" s="738">
        <v>0.14000000000000001</v>
      </c>
      <c r="R23" s="739">
        <f t="shared" si="2"/>
        <v>0.2</v>
      </c>
      <c r="S23" s="5" t="s">
        <v>160</v>
      </c>
      <c r="T23" s="91">
        <v>17</v>
      </c>
      <c r="U23" s="5" t="s">
        <v>19</v>
      </c>
      <c r="V23" s="738">
        <v>437.22000000000008</v>
      </c>
      <c r="W23" s="738">
        <v>437.22000000000008</v>
      </c>
      <c r="X23" s="738">
        <f t="shared" si="3"/>
        <v>0</v>
      </c>
      <c r="Y23" s="737">
        <f t="shared" si="4"/>
        <v>100</v>
      </c>
      <c r="Z23" s="736">
        <f t="shared" si="5"/>
        <v>444.10500000000008</v>
      </c>
      <c r="AA23" s="5" t="s">
        <v>160</v>
      </c>
      <c r="AB23" s="91">
        <v>17</v>
      </c>
      <c r="AC23" s="5" t="s">
        <v>19</v>
      </c>
      <c r="AD23" s="736">
        <f t="shared" si="6"/>
        <v>437.36000000000007</v>
      </c>
      <c r="AE23" s="736">
        <f t="shared" si="7"/>
        <v>1727.6700000000005</v>
      </c>
      <c r="AF23" s="736">
        <f t="shared" si="8"/>
        <v>1734.4150000000004</v>
      </c>
      <c r="AG23" s="5" t="s">
        <v>160</v>
      </c>
      <c r="AH23" s="91">
        <v>17</v>
      </c>
      <c r="AI23" s="5" t="s">
        <v>19</v>
      </c>
      <c r="AJ23" s="734">
        <v>2233</v>
      </c>
      <c r="AK23" s="734">
        <v>2203.9050000000002</v>
      </c>
      <c r="AL23" s="734">
        <v>1699.4</v>
      </c>
      <c r="AM23" s="116">
        <v>25.96</v>
      </c>
      <c r="AN23" s="116">
        <v>0.94</v>
      </c>
      <c r="AO23" s="117">
        <v>26.900000000000002</v>
      </c>
      <c r="AP23" s="5" t="s">
        <v>160</v>
      </c>
      <c r="AQ23" s="91">
        <v>17</v>
      </c>
      <c r="AR23" s="5" t="s">
        <v>19</v>
      </c>
      <c r="AS23" s="116">
        <v>1.37</v>
      </c>
      <c r="AT23" s="116">
        <v>5.9450000000000003</v>
      </c>
      <c r="AU23" s="116">
        <v>0.74</v>
      </c>
      <c r="AV23" s="117">
        <v>8.0549999999999997</v>
      </c>
      <c r="AW23" s="116">
        <v>0.06</v>
      </c>
      <c r="AX23" s="116">
        <v>0.14000000000000001</v>
      </c>
      <c r="AY23" s="117">
        <v>0.2</v>
      </c>
      <c r="AZ23" s="5" t="s">
        <v>160</v>
      </c>
      <c r="BA23" s="91">
        <v>17</v>
      </c>
      <c r="BB23" s="5" t="s">
        <v>19</v>
      </c>
      <c r="BC23" s="116">
        <v>469.35000000000008</v>
      </c>
      <c r="BD23" s="116">
        <v>469.35000000000008</v>
      </c>
      <c r="BE23" s="116"/>
      <c r="BF23" s="733">
        <f t="shared" si="9"/>
        <v>100</v>
      </c>
      <c r="BG23" s="732">
        <f t="shared" si="10"/>
        <v>476.23500000000007</v>
      </c>
      <c r="BH23" s="5" t="s">
        <v>160</v>
      </c>
      <c r="BI23" s="91">
        <v>17</v>
      </c>
      <c r="BJ23" s="5" t="s">
        <v>19</v>
      </c>
      <c r="BK23" s="732">
        <v>469.49000000000007</v>
      </c>
      <c r="BL23" s="732">
        <v>1727.67</v>
      </c>
      <c r="BM23" s="732">
        <v>1734.4150000000002</v>
      </c>
      <c r="BN23" s="5" t="s">
        <v>160</v>
      </c>
      <c r="BP23" s="1698">
        <v>17</v>
      </c>
      <c r="BQ23" s="1696" t="s">
        <v>161</v>
      </c>
      <c r="BR23" s="1691">
        <v>910.25900000000001</v>
      </c>
      <c r="BS23" s="1691">
        <v>145.773</v>
      </c>
      <c r="BT23" s="1691">
        <v>128.86600000000001</v>
      </c>
      <c r="BU23" s="1691">
        <f t="shared" si="11"/>
        <v>274.63900000000001</v>
      </c>
      <c r="BV23" s="1699"/>
      <c r="BW23" s="1699">
        <v>165.41</v>
      </c>
      <c r="BX23" s="1699">
        <v>380.61</v>
      </c>
      <c r="BY23" s="1694">
        <f t="shared" si="12"/>
        <v>546.02</v>
      </c>
      <c r="BZ23" s="1697" t="s">
        <v>8</v>
      </c>
      <c r="CA23" s="1807">
        <v>17</v>
      </c>
      <c r="CB23" s="1696" t="s">
        <v>161</v>
      </c>
      <c r="CC23" s="1699">
        <v>152.71</v>
      </c>
      <c r="CD23" s="1699">
        <v>57.338999999999999</v>
      </c>
      <c r="CE23" s="1694">
        <f t="shared" si="13"/>
        <v>210.04900000000001</v>
      </c>
      <c r="CF23" s="1699">
        <v>254.756</v>
      </c>
      <c r="CG23" s="1699">
        <v>312.16800000000001</v>
      </c>
      <c r="CH23" s="1694">
        <f t="shared" si="14"/>
        <v>57.412000000000006</v>
      </c>
      <c r="CI23" s="1695">
        <f t="shared" si="15"/>
        <v>122.53607373329775</v>
      </c>
      <c r="CJ23" s="1696" t="s">
        <v>8</v>
      </c>
    </row>
    <row r="24" spans="1:88" s="7" customFormat="1" ht="17.100000000000001" customHeight="1">
      <c r="A24" s="91">
        <v>18</v>
      </c>
      <c r="B24" s="5" t="s">
        <v>8</v>
      </c>
      <c r="C24" s="5">
        <v>2243</v>
      </c>
      <c r="D24" s="739">
        <v>2192.1800000000003</v>
      </c>
      <c r="E24" s="738">
        <v>946.24800000000005</v>
      </c>
      <c r="F24" s="738">
        <v>109.821</v>
      </c>
      <c r="G24" s="738">
        <v>128.61099999999999</v>
      </c>
      <c r="H24" s="739">
        <f t="shared" si="0"/>
        <v>238.43199999999999</v>
      </c>
      <c r="I24" s="5" t="s">
        <v>161</v>
      </c>
      <c r="J24" s="91">
        <v>18</v>
      </c>
      <c r="K24" s="5" t="s">
        <v>8</v>
      </c>
      <c r="L24" s="738"/>
      <c r="M24" s="738">
        <v>163.68</v>
      </c>
      <c r="N24" s="738">
        <v>385.77300000000002</v>
      </c>
      <c r="O24" s="739">
        <f t="shared" si="1"/>
        <v>549.45299999999997</v>
      </c>
      <c r="P24" s="738">
        <v>153.10400000000001</v>
      </c>
      <c r="Q24" s="738">
        <v>59.587000000000003</v>
      </c>
      <c r="R24" s="739">
        <f t="shared" si="2"/>
        <v>212.69100000000003</v>
      </c>
      <c r="S24" s="5" t="s">
        <v>161</v>
      </c>
      <c r="T24" s="91">
        <v>18</v>
      </c>
      <c r="U24" s="5" t="s">
        <v>8</v>
      </c>
      <c r="V24" s="738">
        <v>245.35599999999999</v>
      </c>
      <c r="W24" s="738">
        <v>302.63499999999999</v>
      </c>
      <c r="X24" s="738">
        <f t="shared" si="3"/>
        <v>57.278999999999996</v>
      </c>
      <c r="Y24" s="737">
        <f t="shared" si="4"/>
        <v>123.34526157909325</v>
      </c>
      <c r="Z24" s="736">
        <f t="shared" si="5"/>
        <v>1007.5</v>
      </c>
      <c r="AA24" s="5" t="s">
        <v>161</v>
      </c>
      <c r="AB24" s="91">
        <v>18</v>
      </c>
      <c r="AC24" s="5" t="s">
        <v>8</v>
      </c>
      <c r="AD24" s="736">
        <f t="shared" si="6"/>
        <v>304.94299999999998</v>
      </c>
      <c r="AE24" s="736">
        <f t="shared" si="7"/>
        <v>1184.6800000000003</v>
      </c>
      <c r="AF24" s="736">
        <f t="shared" si="8"/>
        <v>1887.2370000000003</v>
      </c>
      <c r="AG24" s="5" t="s">
        <v>161</v>
      </c>
      <c r="AH24" s="91">
        <v>18</v>
      </c>
      <c r="AI24" s="5" t="s">
        <v>8</v>
      </c>
      <c r="AJ24" s="734">
        <v>2243</v>
      </c>
      <c r="AK24" s="734">
        <v>2195.7190000000001</v>
      </c>
      <c r="AL24" s="734">
        <v>940.16399999999999</v>
      </c>
      <c r="AM24" s="116">
        <v>111.535</v>
      </c>
      <c r="AN24" s="116">
        <v>128.86600000000001</v>
      </c>
      <c r="AO24" s="117">
        <v>240.40100000000001</v>
      </c>
      <c r="AP24" s="5" t="s">
        <v>161</v>
      </c>
      <c r="AQ24" s="91">
        <v>18</v>
      </c>
      <c r="AR24" s="5" t="s">
        <v>8</v>
      </c>
      <c r="AS24" s="116"/>
      <c r="AT24" s="116">
        <v>164.41300000000001</v>
      </c>
      <c r="AU24" s="116">
        <v>384.52499999999998</v>
      </c>
      <c r="AV24" s="117">
        <v>548.93799999999999</v>
      </c>
      <c r="AW24" s="116">
        <v>154.13</v>
      </c>
      <c r="AX24" s="116">
        <v>59.753</v>
      </c>
      <c r="AY24" s="117">
        <v>213.88299999999998</v>
      </c>
      <c r="AZ24" s="5" t="s">
        <v>161</v>
      </c>
      <c r="BA24" s="91">
        <v>18</v>
      </c>
      <c r="BB24" s="5" t="s">
        <v>8</v>
      </c>
      <c r="BC24" s="116">
        <v>252.333</v>
      </c>
      <c r="BD24" s="116">
        <v>308.58000000000004</v>
      </c>
      <c r="BE24" s="116">
        <v>56.247000000000043</v>
      </c>
      <c r="BF24" s="733">
        <f t="shared" si="9"/>
        <v>122.29078241847084</v>
      </c>
      <c r="BG24" s="732">
        <f t="shared" si="10"/>
        <v>1015.1539999999999</v>
      </c>
      <c r="BH24" s="5" t="s">
        <v>161</v>
      </c>
      <c r="BI24" s="91">
        <v>18</v>
      </c>
      <c r="BJ24" s="5" t="s">
        <v>8</v>
      </c>
      <c r="BK24" s="732">
        <v>312.08600000000001</v>
      </c>
      <c r="BL24" s="732">
        <v>1180.5650000000001</v>
      </c>
      <c r="BM24" s="732">
        <v>1883.633</v>
      </c>
      <c r="BN24" s="5" t="s">
        <v>161</v>
      </c>
      <c r="BP24" s="1698">
        <v>18</v>
      </c>
      <c r="BQ24" s="1696" t="s">
        <v>162</v>
      </c>
      <c r="BR24" s="1691">
        <v>1585.3050000000001</v>
      </c>
      <c r="BS24" s="1691">
        <v>68.947000000000003</v>
      </c>
      <c r="BT24" s="1691">
        <v>6.3010000000000002</v>
      </c>
      <c r="BU24" s="1691">
        <f t="shared" si="11"/>
        <v>75.248000000000005</v>
      </c>
      <c r="BV24" s="1699">
        <v>11.106999999999999</v>
      </c>
      <c r="BW24" s="1699">
        <v>41.307000000000002</v>
      </c>
      <c r="BX24" s="1699">
        <v>7.4349999999999996</v>
      </c>
      <c r="BY24" s="1694">
        <f t="shared" si="12"/>
        <v>59.849000000000004</v>
      </c>
      <c r="BZ24" s="1697" t="s">
        <v>30</v>
      </c>
      <c r="CA24" s="1807">
        <v>18</v>
      </c>
      <c r="CB24" s="1696" t="s">
        <v>162</v>
      </c>
      <c r="CC24" s="1699">
        <v>127.32299999999999</v>
      </c>
      <c r="CD24" s="1699">
        <v>46.561999999999998</v>
      </c>
      <c r="CE24" s="1694">
        <f t="shared" si="13"/>
        <v>173.88499999999999</v>
      </c>
      <c r="CF24" s="1699">
        <v>144.70099999999999</v>
      </c>
      <c r="CG24" s="1699">
        <v>186.90800000000002</v>
      </c>
      <c r="CH24" s="1694">
        <f t="shared" si="14"/>
        <v>42.207000000000022</v>
      </c>
      <c r="CI24" s="1695">
        <f t="shared" si="15"/>
        <v>129.16842316224492</v>
      </c>
      <c r="CJ24" s="1696" t="s">
        <v>30</v>
      </c>
    </row>
    <row r="25" spans="1:88" s="7" customFormat="1" ht="17.100000000000001" customHeight="1">
      <c r="A25" s="91">
        <v>19</v>
      </c>
      <c r="B25" s="5" t="s">
        <v>30</v>
      </c>
      <c r="C25" s="5">
        <v>2108</v>
      </c>
      <c r="D25" s="739">
        <v>2038.9880000000001</v>
      </c>
      <c r="E25" s="738">
        <v>1585.3050000000001</v>
      </c>
      <c r="F25" s="738">
        <v>68.947000000000003</v>
      </c>
      <c r="G25" s="738">
        <v>6.3010000000000002</v>
      </c>
      <c r="H25" s="739">
        <f t="shared" si="0"/>
        <v>75.248000000000005</v>
      </c>
      <c r="I25" s="5" t="s">
        <v>162</v>
      </c>
      <c r="J25" s="91">
        <v>19</v>
      </c>
      <c r="K25" s="5" t="s">
        <v>30</v>
      </c>
      <c r="L25" s="738">
        <v>11.106999999999999</v>
      </c>
      <c r="M25" s="738">
        <v>41.307000000000002</v>
      </c>
      <c r="N25" s="738">
        <v>7.4349999999999996</v>
      </c>
      <c r="O25" s="739">
        <f t="shared" si="1"/>
        <v>59.849000000000004</v>
      </c>
      <c r="P25" s="738">
        <v>127.32299999999999</v>
      </c>
      <c r="Q25" s="738">
        <v>46.561999999999998</v>
      </c>
      <c r="R25" s="739">
        <f t="shared" si="2"/>
        <v>173.88499999999999</v>
      </c>
      <c r="S25" s="5" t="s">
        <v>162</v>
      </c>
      <c r="T25" s="91">
        <v>19</v>
      </c>
      <c r="U25" s="5" t="s">
        <v>30</v>
      </c>
      <c r="V25" s="738">
        <v>144.70099999999999</v>
      </c>
      <c r="W25" s="738">
        <v>188.37900000000002</v>
      </c>
      <c r="X25" s="738">
        <f t="shared" si="3"/>
        <v>43.678000000000026</v>
      </c>
      <c r="Y25" s="737">
        <f t="shared" si="4"/>
        <v>130.18500217690274</v>
      </c>
      <c r="Z25" s="736">
        <f t="shared" si="5"/>
        <v>367.32799999999997</v>
      </c>
      <c r="AA25" s="5" t="s">
        <v>162</v>
      </c>
      <c r="AB25" s="91">
        <v>19</v>
      </c>
      <c r="AC25" s="5" t="s">
        <v>30</v>
      </c>
      <c r="AD25" s="736">
        <f t="shared" si="6"/>
        <v>191.26299999999998</v>
      </c>
      <c r="AE25" s="736">
        <f t="shared" si="7"/>
        <v>1671.66</v>
      </c>
      <c r="AF25" s="736">
        <f t="shared" si="8"/>
        <v>1847.7250000000001</v>
      </c>
      <c r="AG25" s="5" t="s">
        <v>162</v>
      </c>
      <c r="AH25" s="91">
        <v>19</v>
      </c>
      <c r="AI25" s="5" t="s">
        <v>30</v>
      </c>
      <c r="AJ25" s="734">
        <v>2108</v>
      </c>
      <c r="AK25" s="734">
        <v>2038.9880000000001</v>
      </c>
      <c r="AL25" s="734">
        <v>1585.3050000000001</v>
      </c>
      <c r="AM25" s="116">
        <v>68.947000000000003</v>
      </c>
      <c r="AN25" s="116">
        <v>6.3010000000000002</v>
      </c>
      <c r="AO25" s="117">
        <v>75.248000000000005</v>
      </c>
      <c r="AP25" s="5" t="s">
        <v>162</v>
      </c>
      <c r="AQ25" s="91">
        <v>19</v>
      </c>
      <c r="AR25" s="5" t="s">
        <v>30</v>
      </c>
      <c r="AS25" s="116">
        <v>11.106999999999999</v>
      </c>
      <c r="AT25" s="116">
        <v>41.307000000000002</v>
      </c>
      <c r="AU25" s="116">
        <v>7.4349999999999996</v>
      </c>
      <c r="AV25" s="117">
        <v>59.849000000000004</v>
      </c>
      <c r="AW25" s="116">
        <v>127.32299999999999</v>
      </c>
      <c r="AX25" s="116">
        <v>46.561999999999998</v>
      </c>
      <c r="AY25" s="117">
        <v>173.88499999999999</v>
      </c>
      <c r="AZ25" s="5" t="s">
        <v>162</v>
      </c>
      <c r="BA25" s="91">
        <v>19</v>
      </c>
      <c r="BB25" s="5" t="s">
        <v>30</v>
      </c>
      <c r="BC25" s="116">
        <v>144.70099999999999</v>
      </c>
      <c r="BD25" s="116">
        <v>186.33100000000002</v>
      </c>
      <c r="BE25" s="116">
        <v>41.630000000000024</v>
      </c>
      <c r="BF25" s="733">
        <f t="shared" si="9"/>
        <v>128.76966987097532</v>
      </c>
      <c r="BG25" s="732">
        <f t="shared" si="10"/>
        <v>367.32799999999997</v>
      </c>
      <c r="BH25" s="5" t="s">
        <v>162</v>
      </c>
      <c r="BI25" s="91">
        <v>19</v>
      </c>
      <c r="BJ25" s="5" t="s">
        <v>30</v>
      </c>
      <c r="BK25" s="732">
        <v>191.26299999999998</v>
      </c>
      <c r="BL25" s="732">
        <v>1671.66</v>
      </c>
      <c r="BM25" s="732">
        <v>1847.7250000000001</v>
      </c>
      <c r="BN25" s="5" t="s">
        <v>162</v>
      </c>
      <c r="BP25" s="1698">
        <v>19</v>
      </c>
      <c r="BQ25" s="1696" t="s">
        <v>163</v>
      </c>
      <c r="BR25" s="1691">
        <v>862.93</v>
      </c>
      <c r="BS25" s="1691">
        <v>109.613</v>
      </c>
      <c r="BT25" s="1691">
        <v>2.496</v>
      </c>
      <c r="BU25" s="1691">
        <f t="shared" si="11"/>
        <v>112.10899999999999</v>
      </c>
      <c r="BV25" s="1699"/>
      <c r="BW25" s="1699">
        <v>72.817999999999998</v>
      </c>
      <c r="BX25" s="1699">
        <v>62.100999999999999</v>
      </c>
      <c r="BY25" s="1694">
        <f t="shared" si="12"/>
        <v>134.91899999999998</v>
      </c>
      <c r="BZ25" s="1697" t="s">
        <v>31</v>
      </c>
      <c r="CA25" s="1807">
        <v>19</v>
      </c>
      <c r="CB25" s="1696" t="s">
        <v>163</v>
      </c>
      <c r="CC25" s="1699">
        <v>110.849</v>
      </c>
      <c r="CD25" s="1699">
        <v>48.709000000000003</v>
      </c>
      <c r="CE25" s="1694">
        <f t="shared" si="13"/>
        <v>159.55799999999999</v>
      </c>
      <c r="CF25" s="1699">
        <v>383.59399999999999</v>
      </c>
      <c r="CG25" s="1699">
        <v>528.99400000000003</v>
      </c>
      <c r="CH25" s="1694">
        <f t="shared" si="14"/>
        <v>145.40000000000003</v>
      </c>
      <c r="CI25" s="1695">
        <f t="shared" si="15"/>
        <v>137.90465961407114</v>
      </c>
      <c r="CJ25" s="1696" t="s">
        <v>31</v>
      </c>
    </row>
    <row r="26" spans="1:88" s="7" customFormat="1" ht="17.100000000000001" customHeight="1">
      <c r="A26" s="91">
        <v>20</v>
      </c>
      <c r="B26" s="5" t="s">
        <v>31</v>
      </c>
      <c r="C26" s="5">
        <v>1658</v>
      </c>
      <c r="D26" s="739">
        <v>1652.9340000000002</v>
      </c>
      <c r="E26" s="738">
        <v>862.93</v>
      </c>
      <c r="F26" s="738">
        <v>92.95</v>
      </c>
      <c r="G26" s="738">
        <v>2.496</v>
      </c>
      <c r="H26" s="739">
        <f t="shared" si="0"/>
        <v>95.445999999999998</v>
      </c>
      <c r="I26" s="5" t="s">
        <v>163</v>
      </c>
      <c r="J26" s="91">
        <v>20</v>
      </c>
      <c r="K26" s="5" t="s">
        <v>31</v>
      </c>
      <c r="L26" s="738"/>
      <c r="M26" s="738">
        <v>93.04</v>
      </c>
      <c r="N26" s="738">
        <v>67.802000000000007</v>
      </c>
      <c r="O26" s="739">
        <f t="shared" si="1"/>
        <v>160.84200000000001</v>
      </c>
      <c r="P26" s="738">
        <v>99.695999999999998</v>
      </c>
      <c r="Q26" s="738">
        <v>50.097999999999999</v>
      </c>
      <c r="R26" s="739">
        <f t="shared" si="2"/>
        <v>149.79399999999998</v>
      </c>
      <c r="S26" s="5" t="s">
        <v>163</v>
      </c>
      <c r="T26" s="91">
        <v>20</v>
      </c>
      <c r="U26" s="5" t="s">
        <v>31</v>
      </c>
      <c r="V26" s="738">
        <v>383.92200000000003</v>
      </c>
      <c r="W26" s="738">
        <v>503.74299999999999</v>
      </c>
      <c r="X26" s="738">
        <f t="shared" si="3"/>
        <v>119.82099999999997</v>
      </c>
      <c r="Y26" s="737">
        <f t="shared" si="4"/>
        <v>131.20972489203535</v>
      </c>
      <c r="Z26" s="736">
        <f t="shared" si="5"/>
        <v>694.55799999999999</v>
      </c>
      <c r="AA26" s="5" t="s">
        <v>163</v>
      </c>
      <c r="AB26" s="91">
        <v>20</v>
      </c>
      <c r="AC26" s="5" t="s">
        <v>31</v>
      </c>
      <c r="AD26" s="736">
        <f t="shared" si="6"/>
        <v>434.02000000000004</v>
      </c>
      <c r="AE26" s="736">
        <f t="shared" si="7"/>
        <v>958.3760000000002</v>
      </c>
      <c r="AF26" s="736">
        <f t="shared" si="8"/>
        <v>1218.9140000000002</v>
      </c>
      <c r="AG26" s="5" t="s">
        <v>163</v>
      </c>
      <c r="AH26" s="91">
        <v>20</v>
      </c>
      <c r="AI26" s="5" t="s">
        <v>31</v>
      </c>
      <c r="AJ26" s="734">
        <v>1658</v>
      </c>
      <c r="AK26" s="734">
        <v>1652.271</v>
      </c>
      <c r="AL26" s="734">
        <v>862.93</v>
      </c>
      <c r="AM26" s="116">
        <v>92.995000000000005</v>
      </c>
      <c r="AN26" s="116">
        <v>2.496</v>
      </c>
      <c r="AO26" s="117">
        <v>95.491</v>
      </c>
      <c r="AP26" s="5" t="s">
        <v>163</v>
      </c>
      <c r="AQ26" s="91">
        <v>20</v>
      </c>
      <c r="AR26" s="5" t="s">
        <v>31</v>
      </c>
      <c r="AS26" s="116"/>
      <c r="AT26" s="116">
        <v>89.671999999999997</v>
      </c>
      <c r="AU26" s="116">
        <v>66.459000000000003</v>
      </c>
      <c r="AV26" s="117">
        <v>156.131</v>
      </c>
      <c r="AW26" s="116">
        <v>106.29300000000001</v>
      </c>
      <c r="AX26" s="116">
        <v>46.784999999999997</v>
      </c>
      <c r="AY26" s="117">
        <v>153.078</v>
      </c>
      <c r="AZ26" s="5" t="s">
        <v>163</v>
      </c>
      <c r="BA26" s="91">
        <v>20</v>
      </c>
      <c r="BB26" s="5" t="s">
        <v>31</v>
      </c>
      <c r="BC26" s="116">
        <v>384.64100000000002</v>
      </c>
      <c r="BD26" s="116">
        <v>521.31600000000003</v>
      </c>
      <c r="BE26" s="116">
        <v>136.67500000000001</v>
      </c>
      <c r="BF26" s="733">
        <f t="shared" si="9"/>
        <v>135.53313349330935</v>
      </c>
      <c r="BG26" s="732">
        <f t="shared" si="10"/>
        <v>693.85</v>
      </c>
      <c r="BH26" s="5" t="s">
        <v>163</v>
      </c>
      <c r="BI26" s="91">
        <v>20</v>
      </c>
      <c r="BJ26" s="5" t="s">
        <v>31</v>
      </c>
      <c r="BK26" s="732">
        <v>431.42600000000004</v>
      </c>
      <c r="BL26" s="732">
        <v>958.42099999999994</v>
      </c>
      <c r="BM26" s="732">
        <v>1220.8449999999998</v>
      </c>
      <c r="BN26" s="5" t="s">
        <v>163</v>
      </c>
      <c r="BP26" s="1698">
        <v>20</v>
      </c>
      <c r="BQ26" s="1696" t="s">
        <v>164</v>
      </c>
      <c r="BR26" s="1691" t="s">
        <v>1421</v>
      </c>
      <c r="BS26" s="1691">
        <v>1403</v>
      </c>
      <c r="BT26" s="1691">
        <v>1016</v>
      </c>
      <c r="BU26" s="1691">
        <f t="shared" si="11"/>
        <v>2419</v>
      </c>
      <c r="BV26" s="1699">
        <v>523</v>
      </c>
      <c r="BW26" s="1699">
        <v>251</v>
      </c>
      <c r="BX26" s="1699">
        <v>591</v>
      </c>
      <c r="BY26" s="1694">
        <f t="shared" si="12"/>
        <v>1365</v>
      </c>
      <c r="BZ26" s="1697" t="s">
        <v>9</v>
      </c>
      <c r="CA26" s="1807">
        <v>20</v>
      </c>
      <c r="CB26" s="1696" t="s">
        <v>164</v>
      </c>
      <c r="CC26" s="1699">
        <v>738</v>
      </c>
      <c r="CD26" s="1699">
        <v>1089</v>
      </c>
      <c r="CE26" s="1694">
        <f t="shared" si="13"/>
        <v>1827</v>
      </c>
      <c r="CF26" s="1699">
        <v>4005.9520000000002</v>
      </c>
      <c r="CG26" s="1699">
        <v>4526.9949999999999</v>
      </c>
      <c r="CH26" s="1694">
        <f t="shared" si="14"/>
        <v>521.04299999999967</v>
      </c>
      <c r="CI26" s="1695">
        <f t="shared" si="15"/>
        <v>113.00672099915326</v>
      </c>
      <c r="CJ26" s="1696" t="s">
        <v>9</v>
      </c>
    </row>
    <row r="27" spans="1:88" s="7" customFormat="1" ht="17.100000000000001" customHeight="1">
      <c r="A27" s="91">
        <v>21</v>
      </c>
      <c r="B27" s="5" t="s">
        <v>9</v>
      </c>
      <c r="C27" s="5">
        <v>15571</v>
      </c>
      <c r="D27" s="739">
        <v>15426.46</v>
      </c>
      <c r="E27" s="738">
        <v>0</v>
      </c>
      <c r="F27" s="738">
        <v>1376</v>
      </c>
      <c r="G27" s="738">
        <v>1054</v>
      </c>
      <c r="H27" s="739">
        <f t="shared" si="0"/>
        <v>2430</v>
      </c>
      <c r="I27" s="5" t="s">
        <v>164</v>
      </c>
      <c r="J27" s="91">
        <v>21</v>
      </c>
      <c r="K27" s="5" t="s">
        <v>9</v>
      </c>
      <c r="L27" s="738">
        <v>535</v>
      </c>
      <c r="M27" s="738">
        <v>217</v>
      </c>
      <c r="N27" s="738">
        <v>550</v>
      </c>
      <c r="O27" s="739">
        <f t="shared" si="1"/>
        <v>1302</v>
      </c>
      <c r="P27" s="738">
        <v>655</v>
      </c>
      <c r="Q27" s="738">
        <v>1028</v>
      </c>
      <c r="R27" s="739">
        <f t="shared" si="2"/>
        <v>1683</v>
      </c>
      <c r="S27" s="5" t="s">
        <v>164</v>
      </c>
      <c r="T27" s="91">
        <v>21</v>
      </c>
      <c r="U27" s="5" t="s">
        <v>9</v>
      </c>
      <c r="V27" s="738">
        <v>4197.9129999999996</v>
      </c>
      <c r="W27" s="738">
        <v>4802.6470000000018</v>
      </c>
      <c r="X27" s="738">
        <f t="shared" si="3"/>
        <v>604.7340000000022</v>
      </c>
      <c r="Y27" s="737">
        <f t="shared" si="4"/>
        <v>114.40558677609569</v>
      </c>
      <c r="Z27" s="736">
        <f t="shared" si="5"/>
        <v>6647.9129999999996</v>
      </c>
      <c r="AA27" s="5" t="s">
        <v>164</v>
      </c>
      <c r="AB27" s="91">
        <v>21</v>
      </c>
      <c r="AC27" s="5" t="s">
        <v>9</v>
      </c>
      <c r="AD27" s="736">
        <f t="shared" si="6"/>
        <v>5225.9129999999996</v>
      </c>
      <c r="AE27" s="736">
        <f t="shared" si="7"/>
        <v>8778.5469999999987</v>
      </c>
      <c r="AF27" s="736">
        <f t="shared" si="8"/>
        <v>10200.546999999999</v>
      </c>
      <c r="AG27" s="5" t="s">
        <v>164</v>
      </c>
      <c r="AH27" s="91">
        <v>21</v>
      </c>
      <c r="AI27" s="5" t="s">
        <v>9</v>
      </c>
      <c r="AJ27" s="734">
        <v>15571</v>
      </c>
      <c r="AK27" s="734">
        <v>15943.607999999998</v>
      </c>
      <c r="AL27" s="734" t="s">
        <v>1421</v>
      </c>
      <c r="AM27" s="116">
        <v>1897</v>
      </c>
      <c r="AN27" s="116">
        <v>1031</v>
      </c>
      <c r="AO27" s="117">
        <v>2928</v>
      </c>
      <c r="AP27" s="5" t="s">
        <v>164</v>
      </c>
      <c r="AQ27" s="91">
        <v>21</v>
      </c>
      <c r="AR27" s="5" t="s">
        <v>9</v>
      </c>
      <c r="AS27" s="116">
        <v>512</v>
      </c>
      <c r="AT27" s="116">
        <v>254</v>
      </c>
      <c r="AU27" s="116">
        <v>567</v>
      </c>
      <c r="AV27" s="117">
        <v>1333</v>
      </c>
      <c r="AW27" s="116">
        <v>685</v>
      </c>
      <c r="AX27" s="116">
        <v>1085</v>
      </c>
      <c r="AY27" s="117">
        <v>1770</v>
      </c>
      <c r="AZ27" s="5" t="s">
        <v>164</v>
      </c>
      <c r="BA27" s="91">
        <v>21</v>
      </c>
      <c r="BB27" s="5" t="s">
        <v>9</v>
      </c>
      <c r="BC27" s="116">
        <v>4099.0609999999997</v>
      </c>
      <c r="BD27" s="116">
        <v>4884.2600000000011</v>
      </c>
      <c r="BE27" s="116">
        <v>785.19900000000143</v>
      </c>
      <c r="BF27" s="733">
        <f t="shared" si="9"/>
        <v>119.15558221748839</v>
      </c>
      <c r="BG27" s="732">
        <f t="shared" si="10"/>
        <v>6690.0609999999997</v>
      </c>
      <c r="BH27" s="5" t="s">
        <v>164</v>
      </c>
      <c r="BI27" s="91">
        <v>21</v>
      </c>
      <c r="BJ27" s="5" t="s">
        <v>9</v>
      </c>
      <c r="BK27" s="732">
        <v>5184.0609999999997</v>
      </c>
      <c r="BL27" s="732">
        <v>9253.5469999999987</v>
      </c>
      <c r="BM27" s="732">
        <v>10759.546999999999</v>
      </c>
      <c r="BN27" s="5" t="s">
        <v>164</v>
      </c>
      <c r="BP27" s="1693">
        <v>21</v>
      </c>
      <c r="BQ27" s="1696" t="s">
        <v>165</v>
      </c>
      <c r="BR27" s="1691">
        <v>250.285</v>
      </c>
      <c r="BS27" s="1691">
        <v>504.096</v>
      </c>
      <c r="BT27" s="1691">
        <v>40.887</v>
      </c>
      <c r="BU27" s="1691">
        <f t="shared" si="11"/>
        <v>544.98299999999995</v>
      </c>
      <c r="BV27" s="1699">
        <v>4.492</v>
      </c>
      <c r="BW27" s="1699">
        <v>10.57</v>
      </c>
      <c r="BX27" s="1699">
        <v>12.093</v>
      </c>
      <c r="BY27" s="1694">
        <f t="shared" si="12"/>
        <v>27.155000000000001</v>
      </c>
      <c r="BZ27" s="1697" t="s">
        <v>32</v>
      </c>
      <c r="CA27" s="1806">
        <v>21</v>
      </c>
      <c r="CB27" s="1696" t="s">
        <v>165</v>
      </c>
      <c r="CC27" s="1699">
        <v>5.6639999999999997</v>
      </c>
      <c r="CD27" s="1699">
        <v>85.787000000000006</v>
      </c>
      <c r="CE27" s="1694">
        <f t="shared" si="13"/>
        <v>91.451000000000008</v>
      </c>
      <c r="CF27" s="1699">
        <v>4118.8580000000002</v>
      </c>
      <c r="CG27" s="1699">
        <v>7850.6910000000007</v>
      </c>
      <c r="CH27" s="1694">
        <f t="shared" si="14"/>
        <v>3731.8330000000005</v>
      </c>
      <c r="CI27" s="1695">
        <f t="shared" si="15"/>
        <v>190.60358478005313</v>
      </c>
      <c r="CJ27" s="1696" t="s">
        <v>32</v>
      </c>
    </row>
    <row r="28" spans="1:88" s="7" customFormat="1" ht="17.100000000000001" customHeight="1">
      <c r="A28" s="91">
        <v>22</v>
      </c>
      <c r="B28" s="5" t="s">
        <v>32</v>
      </c>
      <c r="C28" s="5">
        <v>5036</v>
      </c>
      <c r="D28" s="739">
        <v>5032.7320000000009</v>
      </c>
      <c r="E28" s="738">
        <v>255.75899999999999</v>
      </c>
      <c r="F28" s="738">
        <v>475.44900000000001</v>
      </c>
      <c r="G28" s="738">
        <v>52.17</v>
      </c>
      <c r="H28" s="739">
        <f t="shared" si="0"/>
        <v>527.61900000000003</v>
      </c>
      <c r="I28" s="5" t="s">
        <v>165</v>
      </c>
      <c r="J28" s="91">
        <v>22</v>
      </c>
      <c r="K28" s="5" t="s">
        <v>32</v>
      </c>
      <c r="L28" s="738">
        <v>4.7320000000000002</v>
      </c>
      <c r="M28" s="738">
        <v>9.2059999999999995</v>
      </c>
      <c r="N28" s="738">
        <v>15.805</v>
      </c>
      <c r="O28" s="739">
        <f t="shared" si="1"/>
        <v>29.742999999999999</v>
      </c>
      <c r="P28" s="738">
        <v>5.7859999999999996</v>
      </c>
      <c r="Q28" s="738">
        <v>76.546000000000006</v>
      </c>
      <c r="R28" s="739">
        <f t="shared" si="2"/>
        <v>82.332000000000008</v>
      </c>
      <c r="S28" s="5" t="s">
        <v>165</v>
      </c>
      <c r="T28" s="91">
        <v>22</v>
      </c>
      <c r="U28" s="5" t="s">
        <v>32</v>
      </c>
      <c r="V28" s="738">
        <v>4137.2790000000005</v>
      </c>
      <c r="W28" s="738">
        <v>7871.5719999999992</v>
      </c>
      <c r="X28" s="738">
        <f t="shared" si="3"/>
        <v>3734.2929999999988</v>
      </c>
      <c r="Y28" s="737">
        <f t="shared" si="4"/>
        <v>190.25963682893993</v>
      </c>
      <c r="Z28" s="736">
        <f t="shared" si="5"/>
        <v>4244.6220000000003</v>
      </c>
      <c r="AA28" s="5" t="s">
        <v>165</v>
      </c>
      <c r="AB28" s="91">
        <v>22</v>
      </c>
      <c r="AC28" s="5" t="s">
        <v>32</v>
      </c>
      <c r="AD28" s="736">
        <f t="shared" si="6"/>
        <v>4213.8250000000007</v>
      </c>
      <c r="AE28" s="736">
        <f t="shared" si="7"/>
        <v>788.11000000000058</v>
      </c>
      <c r="AF28" s="736">
        <f t="shared" si="8"/>
        <v>818.90700000000015</v>
      </c>
      <c r="AG28" s="5" t="s">
        <v>165</v>
      </c>
      <c r="AH28" s="91">
        <v>22</v>
      </c>
      <c r="AI28" s="5" t="s">
        <v>32</v>
      </c>
      <c r="AJ28" s="734">
        <v>5036</v>
      </c>
      <c r="AK28" s="734">
        <v>5032.732</v>
      </c>
      <c r="AL28" s="734">
        <v>255.40799999999999</v>
      </c>
      <c r="AM28" s="116">
        <v>493.625</v>
      </c>
      <c r="AN28" s="116">
        <v>42.658000000000001</v>
      </c>
      <c r="AO28" s="117">
        <v>536.28300000000002</v>
      </c>
      <c r="AP28" s="5" t="s">
        <v>165</v>
      </c>
      <c r="AQ28" s="91">
        <v>22</v>
      </c>
      <c r="AR28" s="5" t="s">
        <v>32</v>
      </c>
      <c r="AS28" s="116">
        <v>4.5179999999999998</v>
      </c>
      <c r="AT28" s="116">
        <v>8.6310000000000002</v>
      </c>
      <c r="AU28" s="116">
        <v>13.539</v>
      </c>
      <c r="AV28" s="117">
        <v>26.688000000000002</v>
      </c>
      <c r="AW28" s="116">
        <v>6.0529999999999999</v>
      </c>
      <c r="AX28" s="116">
        <v>78.165999999999997</v>
      </c>
      <c r="AY28" s="117">
        <v>84.218999999999994</v>
      </c>
      <c r="AZ28" s="5" t="s">
        <v>165</v>
      </c>
      <c r="BA28" s="91">
        <v>22</v>
      </c>
      <c r="BB28" s="5" t="s">
        <v>32</v>
      </c>
      <c r="BC28" s="116">
        <v>4130.134</v>
      </c>
      <c r="BD28" s="116">
        <v>7804.3640000000005</v>
      </c>
      <c r="BE28" s="116">
        <v>3674.2300000000005</v>
      </c>
      <c r="BF28" s="733">
        <f t="shared" si="9"/>
        <v>188.96152037682072</v>
      </c>
      <c r="BG28" s="732">
        <f t="shared" si="10"/>
        <v>4236.5230000000001</v>
      </c>
      <c r="BH28" s="5" t="s">
        <v>165</v>
      </c>
      <c r="BI28" s="91">
        <v>22</v>
      </c>
      <c r="BJ28" s="5" t="s">
        <v>32</v>
      </c>
      <c r="BK28" s="732">
        <v>4208.3</v>
      </c>
      <c r="BL28" s="732">
        <v>796.20899999999983</v>
      </c>
      <c r="BM28" s="732">
        <v>824.43199999999979</v>
      </c>
      <c r="BN28" s="5" t="s">
        <v>165</v>
      </c>
      <c r="BP28" s="1698">
        <v>22</v>
      </c>
      <c r="BQ28" s="1696" t="s">
        <v>166</v>
      </c>
      <c r="BR28" s="1691">
        <v>2760.127</v>
      </c>
      <c r="BS28" s="1691">
        <v>1992.71</v>
      </c>
      <c r="BT28" s="1691">
        <v>2382.5619999999999</v>
      </c>
      <c r="BU28" s="1691">
        <f t="shared" si="11"/>
        <v>4375.2719999999999</v>
      </c>
      <c r="BV28" s="1699">
        <v>1667.7950000000001</v>
      </c>
      <c r="BW28" s="1699">
        <v>26.02</v>
      </c>
      <c r="BX28" s="1699">
        <v>3784.3310000000001</v>
      </c>
      <c r="BY28" s="1694">
        <f t="shared" si="12"/>
        <v>5478.1460000000006</v>
      </c>
      <c r="BZ28" s="1697" t="s">
        <v>33</v>
      </c>
      <c r="CA28" s="1807">
        <v>22</v>
      </c>
      <c r="CB28" s="1696" t="s">
        <v>166</v>
      </c>
      <c r="CC28" s="1699">
        <v>2106.3780000000002</v>
      </c>
      <c r="CD28" s="1699">
        <v>1789.0429999999999</v>
      </c>
      <c r="CE28" s="1694">
        <f t="shared" si="13"/>
        <v>3895.4210000000003</v>
      </c>
      <c r="CF28" s="1699">
        <v>17778.087</v>
      </c>
      <c r="CG28" s="1699">
        <v>25313.351000000002</v>
      </c>
      <c r="CH28" s="1694">
        <f t="shared" si="14"/>
        <v>7535.2640000000029</v>
      </c>
      <c r="CI28" s="1695">
        <f t="shared" si="15"/>
        <v>142.38512276377097</v>
      </c>
      <c r="CJ28" s="1696" t="s">
        <v>33</v>
      </c>
    </row>
    <row r="29" spans="1:88" s="7" customFormat="1" ht="17.100000000000001" customHeight="1">
      <c r="A29" s="91">
        <v>23</v>
      </c>
      <c r="B29" s="5" t="s">
        <v>33</v>
      </c>
      <c r="C29" s="5">
        <v>34224</v>
      </c>
      <c r="D29" s="739">
        <v>34267.365000000005</v>
      </c>
      <c r="E29" s="738">
        <v>2751.8670000000002</v>
      </c>
      <c r="F29" s="738">
        <v>1945.3610000000001</v>
      </c>
      <c r="G29" s="738">
        <v>2394.752</v>
      </c>
      <c r="H29" s="739">
        <f t="shared" si="0"/>
        <v>4340.1130000000003</v>
      </c>
      <c r="I29" s="5" t="s">
        <v>166</v>
      </c>
      <c r="J29" s="91">
        <v>23</v>
      </c>
      <c r="K29" s="5" t="s">
        <v>33</v>
      </c>
      <c r="L29" s="738">
        <v>1671.73</v>
      </c>
      <c r="M29" s="738">
        <v>20.853999999999999</v>
      </c>
      <c r="N29" s="738">
        <v>3895.2510000000002</v>
      </c>
      <c r="O29" s="739">
        <f t="shared" si="1"/>
        <v>5587.835</v>
      </c>
      <c r="P29" s="738">
        <v>1965.779</v>
      </c>
      <c r="Q29" s="738">
        <v>1597.4079999999999</v>
      </c>
      <c r="R29" s="739">
        <f t="shared" si="2"/>
        <v>3563.1869999999999</v>
      </c>
      <c r="S29" s="5" t="s">
        <v>166</v>
      </c>
      <c r="T29" s="91">
        <v>23</v>
      </c>
      <c r="U29" s="5" t="s">
        <v>33</v>
      </c>
      <c r="V29" s="738">
        <v>18024.363000000001</v>
      </c>
      <c r="W29" s="738">
        <v>25013.703999999998</v>
      </c>
      <c r="X29" s="738">
        <f t="shared" si="3"/>
        <v>6989.3409999999967</v>
      </c>
      <c r="Y29" s="737">
        <f t="shared" si="4"/>
        <v>138.7771872992127</v>
      </c>
      <c r="Z29" s="736">
        <f t="shared" si="5"/>
        <v>25503.654999999999</v>
      </c>
      <c r="AA29" s="5" t="s">
        <v>166</v>
      </c>
      <c r="AB29" s="91">
        <v>23</v>
      </c>
      <c r="AC29" s="5" t="s">
        <v>33</v>
      </c>
      <c r="AD29" s="736">
        <f t="shared" si="6"/>
        <v>19621.771000000001</v>
      </c>
      <c r="AE29" s="736">
        <f t="shared" si="7"/>
        <v>8763.7100000000064</v>
      </c>
      <c r="AF29" s="736">
        <f t="shared" si="8"/>
        <v>14645.594000000005</v>
      </c>
      <c r="AG29" s="5" t="s">
        <v>166</v>
      </c>
      <c r="AH29" s="91">
        <v>23</v>
      </c>
      <c r="AI29" s="5" t="s">
        <v>33</v>
      </c>
      <c r="AJ29" s="734">
        <v>34224</v>
      </c>
      <c r="AK29" s="734">
        <v>34278.551000000007</v>
      </c>
      <c r="AL29" s="734">
        <v>2753.2449999999999</v>
      </c>
      <c r="AM29" s="116">
        <v>1968.9169999999999</v>
      </c>
      <c r="AN29" s="116">
        <v>2391.0149999999999</v>
      </c>
      <c r="AO29" s="117">
        <v>4359.9319999999998</v>
      </c>
      <c r="AP29" s="5" t="s">
        <v>166</v>
      </c>
      <c r="AQ29" s="91">
        <v>23</v>
      </c>
      <c r="AR29" s="5" t="s">
        <v>33</v>
      </c>
      <c r="AS29" s="116">
        <v>1669.57</v>
      </c>
      <c r="AT29" s="116">
        <v>21.933</v>
      </c>
      <c r="AU29" s="116">
        <v>3831.4659999999999</v>
      </c>
      <c r="AV29" s="117">
        <v>5522.9690000000001</v>
      </c>
      <c r="AW29" s="116">
        <v>1983.057</v>
      </c>
      <c r="AX29" s="116">
        <v>1490.607</v>
      </c>
      <c r="AY29" s="117">
        <v>3473.6639999999998</v>
      </c>
      <c r="AZ29" s="5" t="s">
        <v>166</v>
      </c>
      <c r="BA29" s="91">
        <v>23</v>
      </c>
      <c r="BB29" s="5" t="s">
        <v>33</v>
      </c>
      <c r="BC29" s="116">
        <v>18168.741000000002</v>
      </c>
      <c r="BD29" s="116">
        <v>26035.796999999995</v>
      </c>
      <c r="BE29" s="116">
        <v>7867.0559999999932</v>
      </c>
      <c r="BF29" s="733">
        <f t="shared" si="9"/>
        <v>143.29995127345364</v>
      </c>
      <c r="BG29" s="732">
        <f t="shared" si="10"/>
        <v>25495.804000000004</v>
      </c>
      <c r="BH29" s="5" t="s">
        <v>166</v>
      </c>
      <c r="BI29" s="91">
        <v>23</v>
      </c>
      <c r="BJ29" s="5" t="s">
        <v>33</v>
      </c>
      <c r="BK29" s="732">
        <v>19659.348000000002</v>
      </c>
      <c r="BL29" s="732">
        <v>8782.747000000003</v>
      </c>
      <c r="BM29" s="732">
        <v>14619.203000000005</v>
      </c>
      <c r="BN29" s="5" t="s">
        <v>166</v>
      </c>
      <c r="BP29" s="1698">
        <v>23</v>
      </c>
      <c r="BQ29" s="1696" t="s">
        <v>167</v>
      </c>
      <c r="BR29" s="1691">
        <v>334.2</v>
      </c>
      <c r="BS29" s="1691">
        <v>10.199999999999999</v>
      </c>
      <c r="BT29" s="1691"/>
      <c r="BU29" s="1691">
        <f t="shared" si="11"/>
        <v>10.199999999999999</v>
      </c>
      <c r="BV29" s="1699"/>
      <c r="BW29" s="1699">
        <v>3.6</v>
      </c>
      <c r="BX29" s="1699">
        <v>4.2</v>
      </c>
      <c r="BY29" s="1694">
        <f t="shared" si="12"/>
        <v>7.8000000000000007</v>
      </c>
      <c r="BZ29" s="1697" t="s">
        <v>20</v>
      </c>
      <c r="CA29" s="1807">
        <v>23</v>
      </c>
      <c r="CB29" s="1696" t="s">
        <v>167</v>
      </c>
      <c r="CC29" s="1699">
        <v>4.5</v>
      </c>
      <c r="CD29" s="1699">
        <v>7</v>
      </c>
      <c r="CE29" s="1694">
        <f t="shared" si="13"/>
        <v>11.5</v>
      </c>
      <c r="CF29" s="1699">
        <v>77.2</v>
      </c>
      <c r="CG29" s="1699">
        <v>162.25829999999999</v>
      </c>
      <c r="CH29" s="1694">
        <f t="shared" si="14"/>
        <v>85.058299999999988</v>
      </c>
      <c r="CI29" s="1695">
        <f t="shared" si="15"/>
        <v>210.17914507772016</v>
      </c>
      <c r="CJ29" s="1696" t="s">
        <v>20</v>
      </c>
    </row>
    <row r="30" spans="1:88" s="7" customFormat="1" ht="17.100000000000001" customHeight="1">
      <c r="A30" s="91">
        <v>24</v>
      </c>
      <c r="B30" s="5" t="s">
        <v>20</v>
      </c>
      <c r="C30" s="5">
        <v>710</v>
      </c>
      <c r="D30" s="739">
        <v>442.4</v>
      </c>
      <c r="E30" s="738">
        <v>335.7</v>
      </c>
      <c r="F30" s="738">
        <v>10.199999999999999</v>
      </c>
      <c r="G30" s="738"/>
      <c r="H30" s="739">
        <f t="shared" si="0"/>
        <v>10.199999999999999</v>
      </c>
      <c r="I30" s="5" t="s">
        <v>167</v>
      </c>
      <c r="J30" s="91">
        <v>24</v>
      </c>
      <c r="K30" s="5" t="s">
        <v>20</v>
      </c>
      <c r="L30" s="738"/>
      <c r="M30" s="738">
        <v>3.6</v>
      </c>
      <c r="N30" s="738">
        <v>4.2</v>
      </c>
      <c r="O30" s="739">
        <f t="shared" si="1"/>
        <v>7.8000000000000007</v>
      </c>
      <c r="P30" s="738">
        <v>4.5</v>
      </c>
      <c r="Q30" s="738">
        <v>7</v>
      </c>
      <c r="R30" s="739">
        <f t="shared" si="2"/>
        <v>11.5</v>
      </c>
      <c r="S30" s="5" t="s">
        <v>167</v>
      </c>
      <c r="T30" s="91">
        <v>24</v>
      </c>
      <c r="U30" s="5" t="s">
        <v>20</v>
      </c>
      <c r="V30" s="738">
        <v>77.2</v>
      </c>
      <c r="W30" s="738">
        <v>136.65</v>
      </c>
      <c r="X30" s="738">
        <f t="shared" si="3"/>
        <v>59.45</v>
      </c>
      <c r="Y30" s="737">
        <f t="shared" si="4"/>
        <v>177.00777202072538</v>
      </c>
      <c r="Z30" s="736">
        <f t="shared" si="5"/>
        <v>96.5</v>
      </c>
      <c r="AA30" s="5" t="s">
        <v>167</v>
      </c>
      <c r="AB30" s="91">
        <v>24</v>
      </c>
      <c r="AC30" s="5" t="s">
        <v>20</v>
      </c>
      <c r="AD30" s="736">
        <f t="shared" si="6"/>
        <v>84.2</v>
      </c>
      <c r="AE30" s="736">
        <f t="shared" si="7"/>
        <v>345.9</v>
      </c>
      <c r="AF30" s="736">
        <f t="shared" si="8"/>
        <v>358.2</v>
      </c>
      <c r="AG30" s="5" t="s">
        <v>167</v>
      </c>
      <c r="AH30" s="91">
        <v>24</v>
      </c>
      <c r="AI30" s="5" t="s">
        <v>20</v>
      </c>
      <c r="AJ30" s="734">
        <v>710</v>
      </c>
      <c r="AK30" s="734">
        <v>442.4</v>
      </c>
      <c r="AL30" s="734">
        <v>335.7</v>
      </c>
      <c r="AM30" s="116">
        <v>10.199999999999999</v>
      </c>
      <c r="AN30" s="116"/>
      <c r="AO30" s="117">
        <v>10.199999999999999</v>
      </c>
      <c r="AP30" s="5" t="s">
        <v>167</v>
      </c>
      <c r="AQ30" s="91">
        <v>24</v>
      </c>
      <c r="AR30" s="5" t="s">
        <v>20</v>
      </c>
      <c r="AS30" s="116"/>
      <c r="AT30" s="116">
        <v>3.6</v>
      </c>
      <c r="AU30" s="116">
        <v>4.2</v>
      </c>
      <c r="AV30" s="117">
        <v>7.8000000000000007</v>
      </c>
      <c r="AW30" s="116">
        <v>4.5</v>
      </c>
      <c r="AX30" s="116">
        <v>7</v>
      </c>
      <c r="AY30" s="117">
        <v>11.5</v>
      </c>
      <c r="AZ30" s="5" t="s">
        <v>167</v>
      </c>
      <c r="BA30" s="91">
        <v>24</v>
      </c>
      <c r="BB30" s="5" t="s">
        <v>20</v>
      </c>
      <c r="BC30" s="116">
        <v>77.2</v>
      </c>
      <c r="BD30" s="116">
        <v>146.1</v>
      </c>
      <c r="BE30" s="116">
        <v>68.899999999999991</v>
      </c>
      <c r="BF30" s="733">
        <f t="shared" si="9"/>
        <v>189.24870466321241</v>
      </c>
      <c r="BG30" s="732">
        <f t="shared" si="10"/>
        <v>96.5</v>
      </c>
      <c r="BH30" s="5" t="s">
        <v>167</v>
      </c>
      <c r="BI30" s="91">
        <v>24</v>
      </c>
      <c r="BJ30" s="5" t="s">
        <v>20</v>
      </c>
      <c r="BK30" s="732">
        <v>84.2</v>
      </c>
      <c r="BL30" s="732">
        <v>345.9</v>
      </c>
      <c r="BM30" s="732">
        <v>358.2</v>
      </c>
      <c r="BN30" s="5" t="s">
        <v>167</v>
      </c>
      <c r="BP30" s="1698">
        <v>24</v>
      </c>
      <c r="BQ30" s="1696" t="s">
        <v>168</v>
      </c>
      <c r="BR30" s="1691">
        <v>2156.5740000000001</v>
      </c>
      <c r="BS30" s="1691">
        <v>2202.0349999999999</v>
      </c>
      <c r="BT30" s="1691">
        <v>457.58</v>
      </c>
      <c r="BU30" s="1691">
        <f t="shared" si="11"/>
        <v>2659.6149999999998</v>
      </c>
      <c r="BV30" s="1699">
        <v>107.712</v>
      </c>
      <c r="BW30" s="1699">
        <v>225.63300000000001</v>
      </c>
      <c r="BX30" s="1699">
        <v>323.40499999999997</v>
      </c>
      <c r="BY30" s="1694">
        <f t="shared" si="12"/>
        <v>656.75</v>
      </c>
      <c r="BZ30" s="1697" t="s">
        <v>12</v>
      </c>
      <c r="CA30" s="1807">
        <v>24</v>
      </c>
      <c r="CB30" s="1696" t="s">
        <v>168</v>
      </c>
      <c r="CC30" s="1699">
        <v>1930.519</v>
      </c>
      <c r="CD30" s="1699">
        <v>1047.2360000000001</v>
      </c>
      <c r="CE30" s="1694">
        <f t="shared" si="13"/>
        <v>2977.7550000000001</v>
      </c>
      <c r="CF30" s="1699">
        <v>4582.4219999999996</v>
      </c>
      <c r="CG30" s="1699">
        <v>5672.0860000000002</v>
      </c>
      <c r="CH30" s="1694">
        <f t="shared" si="14"/>
        <v>1089.6640000000007</v>
      </c>
      <c r="CI30" s="1695">
        <f t="shared" si="15"/>
        <v>123.77921544545659</v>
      </c>
      <c r="CJ30" s="1696" t="s">
        <v>12</v>
      </c>
    </row>
    <row r="31" spans="1:88" s="7" customFormat="1" ht="17.100000000000001" customHeight="1">
      <c r="A31" s="91">
        <v>25</v>
      </c>
      <c r="B31" s="5" t="s">
        <v>12</v>
      </c>
      <c r="C31" s="5">
        <v>13006</v>
      </c>
      <c r="D31" s="739">
        <v>13033.116000000002</v>
      </c>
      <c r="E31" s="738">
        <v>2156.5740000000001</v>
      </c>
      <c r="F31" s="738">
        <v>2200.7640000000001</v>
      </c>
      <c r="G31" s="738">
        <v>457.63499999999999</v>
      </c>
      <c r="H31" s="739">
        <f t="shared" si="0"/>
        <v>2658.3990000000003</v>
      </c>
      <c r="I31" s="5" t="s">
        <v>168</v>
      </c>
      <c r="J31" s="91">
        <v>25</v>
      </c>
      <c r="K31" s="5" t="s">
        <v>12</v>
      </c>
      <c r="L31" s="738">
        <v>107.768</v>
      </c>
      <c r="M31" s="738">
        <v>235.29</v>
      </c>
      <c r="N31" s="738">
        <v>324.13099999999997</v>
      </c>
      <c r="O31" s="739">
        <f t="shared" si="1"/>
        <v>667.18899999999996</v>
      </c>
      <c r="P31" s="738">
        <v>1729.1379999999999</v>
      </c>
      <c r="Q31" s="738">
        <v>989.13400000000001</v>
      </c>
      <c r="R31" s="739">
        <f t="shared" si="2"/>
        <v>2718.2719999999999</v>
      </c>
      <c r="S31" s="5" t="s">
        <v>168</v>
      </c>
      <c r="T31" s="91">
        <v>25</v>
      </c>
      <c r="U31" s="5" t="s">
        <v>12</v>
      </c>
      <c r="V31" s="738">
        <v>4832.6819999999998</v>
      </c>
      <c r="W31" s="738">
        <v>6074.1600000000008</v>
      </c>
      <c r="X31" s="738">
        <f t="shared" si="3"/>
        <v>1241.478000000001</v>
      </c>
      <c r="Y31" s="737">
        <f t="shared" si="4"/>
        <v>125.68921356712485</v>
      </c>
      <c r="Z31" s="736">
        <f t="shared" si="5"/>
        <v>8110.375</v>
      </c>
      <c r="AA31" s="5" t="s">
        <v>168</v>
      </c>
      <c r="AB31" s="91">
        <v>25</v>
      </c>
      <c r="AC31" s="5" t="s">
        <v>12</v>
      </c>
      <c r="AD31" s="736">
        <f t="shared" si="6"/>
        <v>5821.8159999999998</v>
      </c>
      <c r="AE31" s="736">
        <f t="shared" si="7"/>
        <v>4922.7410000000018</v>
      </c>
      <c r="AF31" s="736">
        <f t="shared" si="8"/>
        <v>7211.300000000002</v>
      </c>
      <c r="AG31" s="5" t="s">
        <v>168</v>
      </c>
      <c r="AH31" s="91">
        <v>25</v>
      </c>
      <c r="AI31" s="5" t="s">
        <v>12</v>
      </c>
      <c r="AJ31" s="734">
        <v>13006</v>
      </c>
      <c r="AK31" s="734">
        <v>13033.115999999998</v>
      </c>
      <c r="AL31" s="734">
        <v>2156.5740000000001</v>
      </c>
      <c r="AM31" s="116">
        <v>2201.3049999999998</v>
      </c>
      <c r="AN31" s="116">
        <v>457.67099999999999</v>
      </c>
      <c r="AO31" s="117">
        <v>2658.9759999999997</v>
      </c>
      <c r="AP31" s="5" t="s">
        <v>168</v>
      </c>
      <c r="AQ31" s="91">
        <v>25</v>
      </c>
      <c r="AR31" s="5" t="s">
        <v>12</v>
      </c>
      <c r="AS31" s="116">
        <v>107.768</v>
      </c>
      <c r="AT31" s="116">
        <v>231.67599999999999</v>
      </c>
      <c r="AU31" s="116">
        <v>322.70600000000002</v>
      </c>
      <c r="AV31" s="117">
        <v>662.15</v>
      </c>
      <c r="AW31" s="116">
        <v>1847.5250000000001</v>
      </c>
      <c r="AX31" s="116">
        <v>1360.867</v>
      </c>
      <c r="AY31" s="117">
        <v>3208.3919999999998</v>
      </c>
      <c r="AZ31" s="5" t="s">
        <v>168</v>
      </c>
      <c r="BA31" s="91">
        <v>25</v>
      </c>
      <c r="BB31" s="5" t="s">
        <v>12</v>
      </c>
      <c r="BC31" s="116">
        <v>4347.0240000000003</v>
      </c>
      <c r="BD31" s="116">
        <v>5128.6419999999998</v>
      </c>
      <c r="BE31" s="116">
        <v>781.61799999999948</v>
      </c>
      <c r="BF31" s="733">
        <f t="shared" si="9"/>
        <v>117.98053104836779</v>
      </c>
      <c r="BG31" s="732">
        <f t="shared" si="10"/>
        <v>8109.7980000000007</v>
      </c>
      <c r="BH31" s="5" t="s">
        <v>168</v>
      </c>
      <c r="BI31" s="91">
        <v>25</v>
      </c>
      <c r="BJ31" s="5" t="s">
        <v>12</v>
      </c>
      <c r="BK31" s="732">
        <v>5707.8910000000005</v>
      </c>
      <c r="BL31" s="732">
        <v>4923.3179999999975</v>
      </c>
      <c r="BM31" s="732">
        <v>7325.2249999999976</v>
      </c>
      <c r="BN31" s="5" t="s">
        <v>168</v>
      </c>
      <c r="BP31" s="1698">
        <v>25</v>
      </c>
      <c r="BQ31" s="1696" t="s">
        <v>169</v>
      </c>
      <c r="BR31" s="1691">
        <v>2698.0450000000001</v>
      </c>
      <c r="BS31" s="1691">
        <v>835.99300000000005</v>
      </c>
      <c r="BT31" s="1691">
        <v>607.45699999999999</v>
      </c>
      <c r="BU31" s="1691">
        <f t="shared" si="11"/>
        <v>1443.45</v>
      </c>
      <c r="BV31" s="1699">
        <v>299.23399999999998</v>
      </c>
      <c r="BW31" s="1699">
        <v>112.069</v>
      </c>
      <c r="BX31" s="1699">
        <v>179.46299999999999</v>
      </c>
      <c r="BY31" s="1694">
        <f t="shared" si="12"/>
        <v>590.76599999999996</v>
      </c>
      <c r="BZ31" s="1697" t="s">
        <v>39</v>
      </c>
      <c r="CA31" s="1807">
        <v>25</v>
      </c>
      <c r="CB31" s="1696" t="s">
        <v>169</v>
      </c>
      <c r="CC31" s="1699">
        <v>751.27700000000004</v>
      </c>
      <c r="CD31" s="1699">
        <v>1064.193</v>
      </c>
      <c r="CE31" s="1694">
        <f t="shared" si="13"/>
        <v>1815.47</v>
      </c>
      <c r="CF31" s="1699">
        <v>4659.933</v>
      </c>
      <c r="CG31" s="1699">
        <v>5774.4740000000002</v>
      </c>
      <c r="CH31" s="1694">
        <f t="shared" si="14"/>
        <v>1114.5410000000002</v>
      </c>
      <c r="CI31" s="1695">
        <f t="shared" si="15"/>
        <v>123.91753271989103</v>
      </c>
      <c r="CJ31" s="1696" t="s">
        <v>39</v>
      </c>
    </row>
    <row r="32" spans="1:88" s="7" customFormat="1" ht="17.100000000000001" customHeight="1">
      <c r="A32" s="91">
        <v>26</v>
      </c>
      <c r="B32" s="5" t="s">
        <v>39</v>
      </c>
      <c r="C32" s="5">
        <v>11231</v>
      </c>
      <c r="D32" s="739">
        <v>11207.774000000001</v>
      </c>
      <c r="E32" s="738">
        <v>2540.1010000000001</v>
      </c>
      <c r="F32" s="738">
        <v>891.99400000000003</v>
      </c>
      <c r="G32" s="738">
        <v>607.42999999999995</v>
      </c>
      <c r="H32" s="739">
        <f t="shared" si="0"/>
        <v>1499.424</v>
      </c>
      <c r="I32" s="5" t="s">
        <v>169</v>
      </c>
      <c r="J32" s="91">
        <v>26</v>
      </c>
      <c r="K32" s="5" t="s">
        <v>39</v>
      </c>
      <c r="L32" s="738">
        <v>298.59699999999998</v>
      </c>
      <c r="M32" s="738">
        <v>112.18</v>
      </c>
      <c r="N32" s="738">
        <v>182.511</v>
      </c>
      <c r="O32" s="739">
        <f t="shared" si="1"/>
        <v>593.28800000000001</v>
      </c>
      <c r="P32" s="738">
        <v>822.06700000000001</v>
      </c>
      <c r="Q32" s="738">
        <v>1578.3620000000001</v>
      </c>
      <c r="R32" s="739">
        <f t="shared" si="2"/>
        <v>2400.4290000000001</v>
      </c>
      <c r="S32" s="5" t="s">
        <v>169</v>
      </c>
      <c r="T32" s="91">
        <v>26</v>
      </c>
      <c r="U32" s="5" t="s">
        <v>39</v>
      </c>
      <c r="V32" s="738">
        <v>4174.5320000000002</v>
      </c>
      <c r="W32" s="738">
        <v>4893.1480000000001</v>
      </c>
      <c r="X32" s="738">
        <f t="shared" si="3"/>
        <v>718.61599999999999</v>
      </c>
      <c r="Y32" s="737">
        <f t="shared" si="4"/>
        <v>117.2142889310706</v>
      </c>
      <c r="Z32" s="736">
        <f t="shared" si="5"/>
        <v>6869.652</v>
      </c>
      <c r="AA32" s="5" t="s">
        <v>169</v>
      </c>
      <c r="AB32" s="91">
        <v>26</v>
      </c>
      <c r="AC32" s="5" t="s">
        <v>39</v>
      </c>
      <c r="AD32" s="736">
        <f t="shared" si="6"/>
        <v>5752.8940000000002</v>
      </c>
      <c r="AE32" s="736">
        <f t="shared" si="7"/>
        <v>4338.1220000000012</v>
      </c>
      <c r="AF32" s="736">
        <f t="shared" si="8"/>
        <v>5454.880000000001</v>
      </c>
      <c r="AG32" s="5" t="s">
        <v>169</v>
      </c>
      <c r="AH32" s="91">
        <v>26</v>
      </c>
      <c r="AI32" s="5" t="s">
        <v>39</v>
      </c>
      <c r="AJ32" s="734" t="s">
        <v>1420</v>
      </c>
      <c r="AK32" s="734">
        <v>11207.7</v>
      </c>
      <c r="AL32" s="734">
        <v>2697.5880000000002</v>
      </c>
      <c r="AM32" s="116">
        <v>851.23099999999999</v>
      </c>
      <c r="AN32" s="116">
        <v>607.45699999999999</v>
      </c>
      <c r="AO32" s="117">
        <v>1458.6880000000001</v>
      </c>
      <c r="AP32" s="5" t="s">
        <v>169</v>
      </c>
      <c r="AQ32" s="91">
        <v>26</v>
      </c>
      <c r="AR32" s="5" t="s">
        <v>39</v>
      </c>
      <c r="AS32" s="116">
        <v>299.23399999999998</v>
      </c>
      <c r="AT32" s="116">
        <v>112.069</v>
      </c>
      <c r="AU32" s="116">
        <v>182.23500000000001</v>
      </c>
      <c r="AV32" s="117">
        <v>593.53800000000001</v>
      </c>
      <c r="AW32" s="116">
        <v>668.5</v>
      </c>
      <c r="AX32" s="116">
        <v>1015.09</v>
      </c>
      <c r="AY32" s="117">
        <v>1683.5900000000001</v>
      </c>
      <c r="AZ32" s="5" t="s">
        <v>169</v>
      </c>
      <c r="BA32" s="91">
        <v>26</v>
      </c>
      <c r="BB32" s="5" t="s">
        <v>39</v>
      </c>
      <c r="BC32" s="116">
        <v>4774.2960000000003</v>
      </c>
      <c r="BD32" s="116">
        <v>5969.9770000000008</v>
      </c>
      <c r="BE32" s="116">
        <v>1195.6810000000005</v>
      </c>
      <c r="BF32" s="733">
        <f t="shared" si="9"/>
        <v>125.04413216105578</v>
      </c>
      <c r="BG32" s="732">
        <f t="shared" si="10"/>
        <v>6752.1900000000005</v>
      </c>
      <c r="BH32" s="5" t="s">
        <v>169</v>
      </c>
      <c r="BI32" s="91">
        <v>26</v>
      </c>
      <c r="BJ32" s="5" t="s">
        <v>39</v>
      </c>
      <c r="BK32" s="732">
        <v>5789.3860000000004</v>
      </c>
      <c r="BL32" s="732">
        <v>4455.51</v>
      </c>
      <c r="BM32" s="732">
        <v>5418.3140000000003</v>
      </c>
      <c r="BN32" s="5" t="s">
        <v>169</v>
      </c>
      <c r="BP32" s="1693">
        <v>26</v>
      </c>
      <c r="BQ32" s="1696" t="s">
        <v>170</v>
      </c>
      <c r="BR32" s="1691">
        <v>629.42600000000004</v>
      </c>
      <c r="BS32" s="1691">
        <v>140.09100000000001</v>
      </c>
      <c r="BT32" s="1691">
        <v>8.2129999999999992</v>
      </c>
      <c r="BU32" s="1691">
        <f t="shared" si="11"/>
        <v>148.304</v>
      </c>
      <c r="BV32" s="1699">
        <v>0.94399999999999995</v>
      </c>
      <c r="BW32" s="1699">
        <v>10.125</v>
      </c>
      <c r="BX32" s="1699">
        <v>2.5779999999999998</v>
      </c>
      <c r="BY32" s="1694">
        <f t="shared" si="12"/>
        <v>13.646999999999998</v>
      </c>
      <c r="BZ32" s="1697" t="s">
        <v>34</v>
      </c>
      <c r="CA32" s="1806">
        <v>26</v>
      </c>
      <c r="CB32" s="1696" t="s">
        <v>170</v>
      </c>
      <c r="CC32" s="1699">
        <v>1.1890000000000001</v>
      </c>
      <c r="CD32" s="1699">
        <v>1.0549999999999999</v>
      </c>
      <c r="CE32" s="1694">
        <f t="shared" si="13"/>
        <v>2.2439999999999998</v>
      </c>
      <c r="CF32" s="1699">
        <v>255.548</v>
      </c>
      <c r="CG32" s="1699">
        <v>487</v>
      </c>
      <c r="CH32" s="1694">
        <f t="shared" si="14"/>
        <v>231.452</v>
      </c>
      <c r="CI32" s="1695">
        <f t="shared" si="15"/>
        <v>190.57085165996213</v>
      </c>
      <c r="CJ32" s="1696" t="s">
        <v>34</v>
      </c>
    </row>
    <row r="33" spans="1:89" s="7" customFormat="1" ht="17.100000000000001" customHeight="1">
      <c r="A33" s="91">
        <v>27</v>
      </c>
      <c r="B33" s="5" t="s">
        <v>34</v>
      </c>
      <c r="C33" s="5">
        <v>1049</v>
      </c>
      <c r="D33" s="739">
        <v>1049.2090000000001</v>
      </c>
      <c r="E33" s="738">
        <v>629.42600000000004</v>
      </c>
      <c r="F33" s="738">
        <v>146.91999999999999</v>
      </c>
      <c r="G33" s="738"/>
      <c r="H33" s="739">
        <f t="shared" si="0"/>
        <v>146.91999999999999</v>
      </c>
      <c r="I33" s="5" t="s">
        <v>170</v>
      </c>
      <c r="J33" s="91">
        <v>27</v>
      </c>
      <c r="K33" s="5" t="s">
        <v>34</v>
      </c>
      <c r="L33" s="738">
        <v>1.077</v>
      </c>
      <c r="M33" s="738">
        <v>10.686999999999999</v>
      </c>
      <c r="N33" s="738">
        <v>2.8780000000000001</v>
      </c>
      <c r="O33" s="739">
        <f t="shared" si="1"/>
        <v>14.641999999999999</v>
      </c>
      <c r="P33" s="738">
        <v>1.635</v>
      </c>
      <c r="Q33" s="738">
        <v>1.0960000000000001</v>
      </c>
      <c r="R33" s="739">
        <f t="shared" si="2"/>
        <v>2.7309999999999999</v>
      </c>
      <c r="S33" s="5" t="s">
        <v>170</v>
      </c>
      <c r="T33" s="91">
        <v>27</v>
      </c>
      <c r="U33" s="5" t="s">
        <v>34</v>
      </c>
      <c r="V33" s="738">
        <v>255.49</v>
      </c>
      <c r="W33" s="738">
        <v>485.67700000000002</v>
      </c>
      <c r="X33" s="738">
        <f t="shared" si="3"/>
        <v>230.18700000000001</v>
      </c>
      <c r="Y33" s="737">
        <f t="shared" si="4"/>
        <v>190.09628556890681</v>
      </c>
      <c r="Z33" s="736">
        <f t="shared" si="5"/>
        <v>271.786</v>
      </c>
      <c r="AA33" s="5" t="s">
        <v>170</v>
      </c>
      <c r="AB33" s="91">
        <v>27</v>
      </c>
      <c r="AC33" s="5" t="s">
        <v>34</v>
      </c>
      <c r="AD33" s="736">
        <f t="shared" si="6"/>
        <v>256.58600000000001</v>
      </c>
      <c r="AE33" s="736">
        <f t="shared" si="7"/>
        <v>777.423</v>
      </c>
      <c r="AF33" s="736">
        <f t="shared" si="8"/>
        <v>792.62300000000005</v>
      </c>
      <c r="AG33" s="5" t="s">
        <v>170</v>
      </c>
      <c r="AH33" s="91">
        <v>27</v>
      </c>
      <c r="AI33" s="5" t="s">
        <v>34</v>
      </c>
      <c r="AJ33" s="734">
        <v>1049</v>
      </c>
      <c r="AK33" s="734">
        <v>1049.1690000000001</v>
      </c>
      <c r="AL33" s="734">
        <v>629.42600000000004</v>
      </c>
      <c r="AM33" s="116">
        <v>147.41300000000001</v>
      </c>
      <c r="AN33" s="116"/>
      <c r="AO33" s="117">
        <v>147.41300000000001</v>
      </c>
      <c r="AP33" s="5" t="s">
        <v>170</v>
      </c>
      <c r="AQ33" s="91">
        <v>27</v>
      </c>
      <c r="AR33" s="5" t="s">
        <v>34</v>
      </c>
      <c r="AS33" s="116">
        <v>0.94399999999999995</v>
      </c>
      <c r="AT33" s="116">
        <v>10.525</v>
      </c>
      <c r="AU33" s="116">
        <v>2.8780000000000001</v>
      </c>
      <c r="AV33" s="117">
        <v>14.347000000000001</v>
      </c>
      <c r="AW33" s="116">
        <v>1.595</v>
      </c>
      <c r="AX33" s="116">
        <v>0.89800000000000002</v>
      </c>
      <c r="AY33" s="117">
        <v>2.4929999999999999</v>
      </c>
      <c r="AZ33" s="5" t="s">
        <v>170</v>
      </c>
      <c r="BA33" s="91">
        <v>27</v>
      </c>
      <c r="BB33" s="5" t="s">
        <v>34</v>
      </c>
      <c r="BC33" s="116">
        <v>255.49</v>
      </c>
      <c r="BD33" s="116">
        <v>490.54</v>
      </c>
      <c r="BE33" s="116">
        <v>235.05</v>
      </c>
      <c r="BF33" s="733">
        <f t="shared" si="9"/>
        <v>191.99968687619869</v>
      </c>
      <c r="BG33" s="732">
        <f t="shared" si="10"/>
        <v>271.38600000000002</v>
      </c>
      <c r="BH33" s="5" t="s">
        <v>170</v>
      </c>
      <c r="BI33" s="91">
        <v>27</v>
      </c>
      <c r="BJ33" s="5" t="s">
        <v>34</v>
      </c>
      <c r="BK33" s="732">
        <v>256.38800000000003</v>
      </c>
      <c r="BL33" s="732">
        <v>777.78300000000013</v>
      </c>
      <c r="BM33" s="732">
        <v>792.78100000000006</v>
      </c>
      <c r="BN33" s="5" t="s">
        <v>170</v>
      </c>
      <c r="BP33" s="1698">
        <v>27</v>
      </c>
      <c r="BQ33" s="1696" t="s">
        <v>172</v>
      </c>
      <c r="BR33" s="1691">
        <v>3811.6619999999998</v>
      </c>
      <c r="BS33" s="1691">
        <v>185.70699999999999</v>
      </c>
      <c r="BT33" s="1691">
        <v>248.96299999999999</v>
      </c>
      <c r="BU33" s="1691">
        <f t="shared" si="11"/>
        <v>434.66999999999996</v>
      </c>
      <c r="BV33" s="1699">
        <v>207.79300000000001</v>
      </c>
      <c r="BW33" s="1699">
        <v>394.59300000000002</v>
      </c>
      <c r="BX33" s="1699">
        <v>328.32299999999998</v>
      </c>
      <c r="BY33" s="1694">
        <f t="shared" si="12"/>
        <v>930.70899999999995</v>
      </c>
      <c r="BZ33" s="1697" t="s">
        <v>36</v>
      </c>
      <c r="CA33" s="1807">
        <v>27</v>
      </c>
      <c r="CB33" s="1696" t="s">
        <v>172</v>
      </c>
      <c r="CC33" s="1699">
        <v>88.956999999999994</v>
      </c>
      <c r="CD33" s="1699">
        <v>88.138000000000005</v>
      </c>
      <c r="CE33" s="1694">
        <f t="shared" si="13"/>
        <v>177.095</v>
      </c>
      <c r="CF33" s="1699">
        <v>647.78800000000001</v>
      </c>
      <c r="CG33" s="1699">
        <v>1029.0139999999999</v>
      </c>
      <c r="CH33" s="1694">
        <f t="shared" si="14"/>
        <v>381.22599999999989</v>
      </c>
      <c r="CI33" s="1695">
        <f t="shared" si="15"/>
        <v>158.85042637406065</v>
      </c>
      <c r="CJ33" s="1696" t="s">
        <v>36</v>
      </c>
    </row>
    <row r="34" spans="1:89" s="7" customFormat="1" ht="17.100000000000001" customHeight="1">
      <c r="A34" s="91">
        <v>28</v>
      </c>
      <c r="B34" s="5" t="s">
        <v>35</v>
      </c>
      <c r="C34" s="5">
        <v>24093</v>
      </c>
      <c r="D34" s="739">
        <v>24170.454000000002</v>
      </c>
      <c r="E34" s="738">
        <v>1666.173</v>
      </c>
      <c r="F34" s="738">
        <v>3123.41</v>
      </c>
      <c r="G34" s="738">
        <v>452.80599999999998</v>
      </c>
      <c r="H34" s="739">
        <f t="shared" si="0"/>
        <v>3576.2159999999999</v>
      </c>
      <c r="I34" s="5" t="s">
        <v>171</v>
      </c>
      <c r="J34" s="91">
        <v>28</v>
      </c>
      <c r="K34" s="5" t="s">
        <v>35</v>
      </c>
      <c r="L34" s="738">
        <v>64.72</v>
      </c>
      <c r="M34" s="738">
        <v>291.18099999999998</v>
      </c>
      <c r="N34" s="738">
        <v>395.089</v>
      </c>
      <c r="O34" s="739">
        <f t="shared" si="1"/>
        <v>750.99</v>
      </c>
      <c r="P34" s="738">
        <v>547.33399999999995</v>
      </c>
      <c r="Q34" s="738">
        <v>1160.558</v>
      </c>
      <c r="R34" s="739">
        <f t="shared" si="2"/>
        <v>1707.8919999999998</v>
      </c>
      <c r="S34" s="5" t="s">
        <v>171</v>
      </c>
      <c r="T34" s="91">
        <v>28</v>
      </c>
      <c r="U34" s="5" t="s">
        <v>35</v>
      </c>
      <c r="V34" s="738">
        <v>16469.183000000001</v>
      </c>
      <c r="W34" s="738">
        <v>26203.316999999995</v>
      </c>
      <c r="X34" s="738">
        <f t="shared" si="3"/>
        <v>9734.1339999999946</v>
      </c>
      <c r="Y34" s="737">
        <f t="shared" si="4"/>
        <v>159.10514200977667</v>
      </c>
      <c r="Z34" s="736">
        <f t="shared" si="5"/>
        <v>18863.345000000001</v>
      </c>
      <c r="AA34" s="5" t="s">
        <v>171</v>
      </c>
      <c r="AB34" s="91">
        <v>28</v>
      </c>
      <c r="AC34" s="5" t="s">
        <v>35</v>
      </c>
      <c r="AD34" s="736">
        <f t="shared" si="6"/>
        <v>17629.741000000002</v>
      </c>
      <c r="AE34" s="736">
        <f t="shared" si="7"/>
        <v>5307.1090000000004</v>
      </c>
      <c r="AF34" s="736">
        <f t="shared" si="8"/>
        <v>6540.7129999999997</v>
      </c>
      <c r="AG34" s="5" t="s">
        <v>171</v>
      </c>
      <c r="AH34" s="91">
        <v>28</v>
      </c>
      <c r="AI34" s="5" t="s">
        <v>35</v>
      </c>
      <c r="AJ34" s="734">
        <v>5348</v>
      </c>
      <c r="AK34" s="734">
        <v>5992.6039999999994</v>
      </c>
      <c r="AL34" s="734">
        <v>3799.953</v>
      </c>
      <c r="AM34" s="116">
        <v>226.845</v>
      </c>
      <c r="AN34" s="116">
        <v>228.09100000000001</v>
      </c>
      <c r="AO34" s="117">
        <v>454.93600000000004</v>
      </c>
      <c r="AP34" s="5" t="s">
        <v>171</v>
      </c>
      <c r="AQ34" s="91">
        <v>28</v>
      </c>
      <c r="AR34" s="5" t="s">
        <v>35</v>
      </c>
      <c r="AS34" s="116">
        <v>192.07499999999999</v>
      </c>
      <c r="AT34" s="116">
        <v>387.17599999999999</v>
      </c>
      <c r="AU34" s="116">
        <v>317.88499999999999</v>
      </c>
      <c r="AV34" s="117">
        <v>897.13599999999997</v>
      </c>
      <c r="AW34" s="116">
        <v>88.132000000000005</v>
      </c>
      <c r="AX34" s="116">
        <v>61.884999999999998</v>
      </c>
      <c r="AY34" s="117">
        <v>150.017</v>
      </c>
      <c r="AZ34" s="5" t="s">
        <v>171</v>
      </c>
      <c r="BA34" s="91">
        <v>28</v>
      </c>
      <c r="BB34" s="5" t="s">
        <v>35</v>
      </c>
      <c r="BC34" s="116">
        <v>690.56200000000001</v>
      </c>
      <c r="BD34" s="116">
        <v>1081.797</v>
      </c>
      <c r="BE34" s="116">
        <v>391.23500000000001</v>
      </c>
      <c r="BF34" s="733">
        <f t="shared" si="9"/>
        <v>156.65457989289882</v>
      </c>
      <c r="BG34" s="732">
        <f t="shared" si="10"/>
        <v>1545.6399999999999</v>
      </c>
      <c r="BH34" s="5" t="s">
        <v>171</v>
      </c>
      <c r="BI34" s="91">
        <v>28</v>
      </c>
      <c r="BJ34" s="5" t="s">
        <v>35</v>
      </c>
      <c r="BK34" s="732">
        <v>752.447</v>
      </c>
      <c r="BL34" s="732">
        <v>4446.9639999999999</v>
      </c>
      <c r="BM34" s="732">
        <v>5240.1569999999992</v>
      </c>
      <c r="BN34" s="5" t="s">
        <v>171</v>
      </c>
      <c r="BP34" s="1698">
        <v>28</v>
      </c>
      <c r="BQ34" s="1696" t="s">
        <v>171</v>
      </c>
      <c r="BR34" s="1691">
        <v>1714.6120000000001</v>
      </c>
      <c r="BS34" s="1691">
        <v>3168.866</v>
      </c>
      <c r="BT34" s="1691">
        <v>441.81099999999998</v>
      </c>
      <c r="BU34" s="1691">
        <f t="shared" si="11"/>
        <v>3610.6770000000001</v>
      </c>
      <c r="BV34" s="1699">
        <v>70.144999999999996</v>
      </c>
      <c r="BW34" s="1699">
        <v>268.81400000000002</v>
      </c>
      <c r="BX34" s="1699">
        <v>387.642</v>
      </c>
      <c r="BY34" s="1694">
        <f t="shared" si="12"/>
        <v>726.601</v>
      </c>
      <c r="BZ34" s="1697" t="s">
        <v>35</v>
      </c>
      <c r="CA34" s="1807">
        <v>28</v>
      </c>
      <c r="CB34" s="1696" t="s">
        <v>171</v>
      </c>
      <c r="CC34" s="1699">
        <v>594.27</v>
      </c>
      <c r="CD34" s="1699">
        <v>986.61599999999999</v>
      </c>
      <c r="CE34" s="1694">
        <f t="shared" si="13"/>
        <v>1580.886</v>
      </c>
      <c r="CF34" s="1699">
        <v>16537.678</v>
      </c>
      <c r="CG34" s="1699">
        <v>26858.657999999996</v>
      </c>
      <c r="CH34" s="1694">
        <f t="shared" si="14"/>
        <v>10320.979999999996</v>
      </c>
      <c r="CI34" s="1695">
        <f t="shared" si="15"/>
        <v>162.40888231104751</v>
      </c>
      <c r="CJ34" s="1696" t="s">
        <v>35</v>
      </c>
    </row>
    <row r="35" spans="1:89" s="7" customFormat="1" ht="17.100000000000001" customHeight="1">
      <c r="A35" s="91">
        <v>29</v>
      </c>
      <c r="B35" s="5" t="s">
        <v>36</v>
      </c>
      <c r="C35" s="5">
        <v>5348</v>
      </c>
      <c r="D35" s="739">
        <v>5992.6039999999994</v>
      </c>
      <c r="E35" s="738">
        <v>3799.953</v>
      </c>
      <c r="F35" s="738">
        <v>225.255</v>
      </c>
      <c r="G35" s="738">
        <v>228.10599999999999</v>
      </c>
      <c r="H35" s="739">
        <f t="shared" si="0"/>
        <v>453.36099999999999</v>
      </c>
      <c r="I35" s="5" t="s">
        <v>172</v>
      </c>
      <c r="J35" s="91">
        <v>29</v>
      </c>
      <c r="K35" s="5" t="s">
        <v>36</v>
      </c>
      <c r="L35" s="738">
        <v>192.071</v>
      </c>
      <c r="M35" s="738">
        <v>387.673</v>
      </c>
      <c r="N35" s="738">
        <v>317.77699999999999</v>
      </c>
      <c r="O35" s="739">
        <f t="shared" si="1"/>
        <v>897.52099999999996</v>
      </c>
      <c r="P35" s="738">
        <v>86.265000000000001</v>
      </c>
      <c r="Q35" s="738">
        <v>57.091000000000001</v>
      </c>
      <c r="R35" s="739">
        <f t="shared" si="2"/>
        <v>143.35599999999999</v>
      </c>
      <c r="S35" s="5" t="s">
        <v>172</v>
      </c>
      <c r="T35" s="91">
        <v>29</v>
      </c>
      <c r="U35" s="5" t="s">
        <v>36</v>
      </c>
      <c r="V35" s="738">
        <v>698.41300000000001</v>
      </c>
      <c r="W35" s="738">
        <v>1082.7039999999997</v>
      </c>
      <c r="X35" s="738">
        <f t="shared" si="3"/>
        <v>384.29099999999971</v>
      </c>
      <c r="Y35" s="737">
        <f t="shared" si="4"/>
        <v>155.02346033077845</v>
      </c>
      <c r="Z35" s="736">
        <f t="shared" si="5"/>
        <v>1547.2190000000001</v>
      </c>
      <c r="AA35" s="5" t="s">
        <v>172</v>
      </c>
      <c r="AB35" s="91">
        <v>29</v>
      </c>
      <c r="AC35" s="5" t="s">
        <v>36</v>
      </c>
      <c r="AD35" s="736">
        <f t="shared" si="6"/>
        <v>755.50400000000002</v>
      </c>
      <c r="AE35" s="736">
        <f t="shared" si="7"/>
        <v>4445.3849999999993</v>
      </c>
      <c r="AF35" s="736">
        <f t="shared" si="8"/>
        <v>5237.0999999999995</v>
      </c>
      <c r="AG35" s="5" t="s">
        <v>172</v>
      </c>
      <c r="AH35" s="91">
        <v>29</v>
      </c>
      <c r="AI35" s="5" t="s">
        <v>36</v>
      </c>
      <c r="AJ35" s="734">
        <v>24093</v>
      </c>
      <c r="AK35" s="734">
        <v>24170.454000000002</v>
      </c>
      <c r="AL35" s="734">
        <v>1666.317</v>
      </c>
      <c r="AM35" s="116">
        <v>3146.7489999999998</v>
      </c>
      <c r="AN35" s="116">
        <v>444.86399999999998</v>
      </c>
      <c r="AO35" s="117">
        <v>3591.6129999999998</v>
      </c>
      <c r="AP35" s="5" t="s">
        <v>172</v>
      </c>
      <c r="AQ35" s="91">
        <v>29</v>
      </c>
      <c r="AR35" s="5" t="s">
        <v>36</v>
      </c>
      <c r="AS35" s="116">
        <v>64.882999999999996</v>
      </c>
      <c r="AT35" s="116">
        <v>284.791</v>
      </c>
      <c r="AU35" s="116">
        <v>389.32799999999997</v>
      </c>
      <c r="AV35" s="117">
        <v>739.00199999999995</v>
      </c>
      <c r="AW35" s="116">
        <v>519.52</v>
      </c>
      <c r="AX35" s="116">
        <v>1090.3050000000001</v>
      </c>
      <c r="AY35" s="117">
        <v>1609.825</v>
      </c>
      <c r="AZ35" s="5" t="s">
        <v>172</v>
      </c>
      <c r="BA35" s="91">
        <v>29</v>
      </c>
      <c r="BB35" s="5" t="s">
        <v>36</v>
      </c>
      <c r="BC35" s="116">
        <v>16563.697</v>
      </c>
      <c r="BD35" s="116">
        <v>26948.520000000004</v>
      </c>
      <c r="BE35" s="116">
        <v>10384.823000000004</v>
      </c>
      <c r="BF35" s="733">
        <f t="shared" si="9"/>
        <v>162.69628694608457</v>
      </c>
      <c r="BG35" s="732">
        <f t="shared" si="10"/>
        <v>18847.641</v>
      </c>
      <c r="BH35" s="5" t="s">
        <v>172</v>
      </c>
      <c r="BI35" s="91">
        <v>29</v>
      </c>
      <c r="BJ35" s="5" t="s">
        <v>36</v>
      </c>
      <c r="BK35" s="732">
        <v>17654.002</v>
      </c>
      <c r="BL35" s="732">
        <v>5322.8130000000019</v>
      </c>
      <c r="BM35" s="732">
        <v>6516.4520000000011</v>
      </c>
      <c r="BN35" s="5" t="s">
        <v>172</v>
      </c>
      <c r="BP35" s="1698">
        <v>29</v>
      </c>
      <c r="BQ35" s="1696" t="s">
        <v>173</v>
      </c>
      <c r="BR35" s="1691">
        <v>1175.1610000000001</v>
      </c>
      <c r="BS35" s="1691">
        <v>1883.8820000000001</v>
      </c>
      <c r="BT35" s="1691">
        <v>8.3000000000000007</v>
      </c>
      <c r="BU35" s="1691">
        <f t="shared" si="11"/>
        <v>1892.182</v>
      </c>
      <c r="BV35" s="1699">
        <v>2.1139999999999999</v>
      </c>
      <c r="BW35" s="1699">
        <v>46.786999999999999</v>
      </c>
      <c r="BX35" s="1699">
        <v>12.997</v>
      </c>
      <c r="BY35" s="1694">
        <f t="shared" si="12"/>
        <v>61.897999999999996</v>
      </c>
      <c r="BZ35" s="1697" t="s">
        <v>37</v>
      </c>
      <c r="CA35" s="1807">
        <v>29</v>
      </c>
      <c r="CB35" s="1696" t="s">
        <v>173</v>
      </c>
      <c r="CC35" s="1699">
        <v>5.5</v>
      </c>
      <c r="CD35" s="1699">
        <v>301.11500000000001</v>
      </c>
      <c r="CE35" s="1694">
        <f t="shared" si="13"/>
        <v>306.61500000000001</v>
      </c>
      <c r="CF35" s="1699">
        <v>5248.2569999999996</v>
      </c>
      <c r="CG35" s="1699">
        <v>9959.5460000000003</v>
      </c>
      <c r="CH35" s="1694">
        <f t="shared" si="14"/>
        <v>4711.2890000000007</v>
      </c>
      <c r="CI35" s="1695">
        <f t="shared" si="15"/>
        <v>189.76864128414445</v>
      </c>
      <c r="CJ35" s="1696" t="s">
        <v>37</v>
      </c>
    </row>
    <row r="36" spans="1:89" s="7" customFormat="1" ht="36" customHeight="1">
      <c r="A36" s="91">
        <v>30</v>
      </c>
      <c r="B36" s="5" t="s">
        <v>37</v>
      </c>
      <c r="C36" s="5">
        <v>8875</v>
      </c>
      <c r="D36" s="739">
        <v>8684.1129999999994</v>
      </c>
      <c r="E36" s="738">
        <v>1173.6690000000001</v>
      </c>
      <c r="F36" s="738">
        <v>1849.7190000000001</v>
      </c>
      <c r="G36" s="738">
        <v>10.442</v>
      </c>
      <c r="H36" s="739">
        <f t="shared" si="0"/>
        <v>1860.1610000000001</v>
      </c>
      <c r="I36" s="5" t="s">
        <v>173</v>
      </c>
      <c r="J36" s="91">
        <v>30</v>
      </c>
      <c r="K36" s="5" t="s">
        <v>37</v>
      </c>
      <c r="L36" s="738">
        <v>2.4510000000000001</v>
      </c>
      <c r="M36" s="738">
        <v>49.765000000000001</v>
      </c>
      <c r="N36" s="738">
        <v>15.923</v>
      </c>
      <c r="O36" s="739">
        <f t="shared" si="1"/>
        <v>68.138999999999996</v>
      </c>
      <c r="P36" s="738">
        <v>10.654</v>
      </c>
      <c r="Q36" s="738">
        <v>328.10199999999998</v>
      </c>
      <c r="R36" s="739">
        <f t="shared" si="2"/>
        <v>338.75599999999997</v>
      </c>
      <c r="S36" s="5" t="s">
        <v>173</v>
      </c>
      <c r="T36" s="91">
        <v>30</v>
      </c>
      <c r="U36" s="5" t="s">
        <v>37</v>
      </c>
      <c r="V36" s="738">
        <v>5243.3879999999999</v>
      </c>
      <c r="W36" s="738">
        <v>9881.3539999999994</v>
      </c>
      <c r="X36" s="738">
        <f t="shared" si="3"/>
        <v>4637.9659999999994</v>
      </c>
      <c r="Y36" s="737">
        <f t="shared" si="4"/>
        <v>188.45361052815468</v>
      </c>
      <c r="Z36" s="736">
        <f t="shared" si="5"/>
        <v>5647.8320000000003</v>
      </c>
      <c r="AA36" s="5" t="s">
        <v>173</v>
      </c>
      <c r="AB36" s="91">
        <v>30</v>
      </c>
      <c r="AC36" s="5" t="s">
        <v>37</v>
      </c>
      <c r="AD36" s="736">
        <f t="shared" si="6"/>
        <v>5571.49</v>
      </c>
      <c r="AE36" s="736">
        <f t="shared" si="7"/>
        <v>3036.280999999999</v>
      </c>
      <c r="AF36" s="736">
        <f t="shared" si="8"/>
        <v>3112.6229999999996</v>
      </c>
      <c r="AG36" s="5" t="s">
        <v>173</v>
      </c>
      <c r="AH36" s="91">
        <v>30</v>
      </c>
      <c r="AI36" s="5" t="s">
        <v>37</v>
      </c>
      <c r="AJ36" s="734">
        <v>8875</v>
      </c>
      <c r="AK36" s="734">
        <v>8684.1129999999994</v>
      </c>
      <c r="AL36" s="734">
        <v>1175.1610000000001</v>
      </c>
      <c r="AM36" s="116">
        <v>1864.385</v>
      </c>
      <c r="AN36" s="116">
        <v>9.6059999999999999</v>
      </c>
      <c r="AO36" s="117">
        <v>1873.991</v>
      </c>
      <c r="AP36" s="5" t="s">
        <v>173</v>
      </c>
      <c r="AQ36" s="91">
        <v>30</v>
      </c>
      <c r="AR36" s="5" t="s">
        <v>37</v>
      </c>
      <c r="AS36" s="116">
        <v>2.3660000000000001</v>
      </c>
      <c r="AT36" s="116">
        <v>49.497999999999998</v>
      </c>
      <c r="AU36" s="116">
        <v>14.891999999999999</v>
      </c>
      <c r="AV36" s="117">
        <v>66.756</v>
      </c>
      <c r="AW36" s="116">
        <v>9.6460000000000008</v>
      </c>
      <c r="AX36" s="116">
        <v>312.80200000000002</v>
      </c>
      <c r="AY36" s="117">
        <v>322.44800000000004</v>
      </c>
      <c r="AZ36" s="5" t="s">
        <v>173</v>
      </c>
      <c r="BA36" s="91">
        <v>30</v>
      </c>
      <c r="BB36" s="5" t="s">
        <v>37</v>
      </c>
      <c r="BC36" s="116">
        <v>5245.7569999999996</v>
      </c>
      <c r="BD36" s="116">
        <v>9618.25</v>
      </c>
      <c r="BE36" s="116">
        <v>4372.4930000000004</v>
      </c>
      <c r="BF36" s="733">
        <f t="shared" si="9"/>
        <v>183.35294600950826</v>
      </c>
      <c r="BG36" s="732">
        <f t="shared" si="10"/>
        <v>5632.5949999999993</v>
      </c>
      <c r="BH36" s="5" t="s">
        <v>173</v>
      </c>
      <c r="BI36" s="91">
        <v>30</v>
      </c>
      <c r="BJ36" s="5" t="s">
        <v>37</v>
      </c>
      <c r="BK36" s="732">
        <v>5558.5589999999993</v>
      </c>
      <c r="BL36" s="732">
        <v>3051.518</v>
      </c>
      <c r="BM36" s="732">
        <v>3125.5540000000001</v>
      </c>
      <c r="BN36" s="5" t="s">
        <v>173</v>
      </c>
      <c r="BP36" s="1698">
        <v>30</v>
      </c>
      <c r="BQ36" s="1700" t="s">
        <v>174</v>
      </c>
      <c r="BR36" s="1691">
        <v>717.06899999999996</v>
      </c>
      <c r="BS36" s="1691">
        <v>7.18</v>
      </c>
      <c r="BT36" s="1691">
        <v>1.639</v>
      </c>
      <c r="BU36" s="1691">
        <f t="shared" si="11"/>
        <v>8.8189999999999991</v>
      </c>
      <c r="BV36" s="1699">
        <v>3.6869999999999998</v>
      </c>
      <c r="BW36" s="1699">
        <v>4.0860000000000003</v>
      </c>
      <c r="BX36" s="1699">
        <v>3.093</v>
      </c>
      <c r="BY36" s="1694">
        <f t="shared" si="12"/>
        <v>10.866</v>
      </c>
      <c r="BZ36" s="1701" t="s">
        <v>496</v>
      </c>
      <c r="CA36" s="1807">
        <v>30</v>
      </c>
      <c r="CB36" s="1700" t="s">
        <v>174</v>
      </c>
      <c r="CC36" s="1699">
        <v>3.282</v>
      </c>
      <c r="CD36" s="1699">
        <v>2.6339999999999999</v>
      </c>
      <c r="CE36" s="1694">
        <f t="shared" si="13"/>
        <v>5.9160000000000004</v>
      </c>
      <c r="CF36" s="1699">
        <v>14.71</v>
      </c>
      <c r="CG36" s="1699">
        <v>40.775999999999996</v>
      </c>
      <c r="CH36" s="1694">
        <f t="shared" si="14"/>
        <v>26.065999999999995</v>
      </c>
      <c r="CI36" s="1695">
        <f t="shared" si="15"/>
        <v>277.19918422841602</v>
      </c>
      <c r="CJ36" s="1700" t="s">
        <v>496</v>
      </c>
    </row>
    <row r="37" spans="1:89" s="7" customFormat="1" ht="26.25" customHeight="1">
      <c r="A37" s="91">
        <v>31</v>
      </c>
      <c r="B37" s="12" t="s">
        <v>496</v>
      </c>
      <c r="C37" s="5">
        <v>825</v>
      </c>
      <c r="D37" s="739">
        <v>757.38</v>
      </c>
      <c r="E37" s="738">
        <v>717.06899999999996</v>
      </c>
      <c r="F37" s="738">
        <v>7.18</v>
      </c>
      <c r="G37" s="738">
        <v>1.639</v>
      </c>
      <c r="H37" s="739">
        <f t="shared" si="0"/>
        <v>8.8189999999999991</v>
      </c>
      <c r="I37" s="12" t="s">
        <v>174</v>
      </c>
      <c r="J37" s="91">
        <v>31</v>
      </c>
      <c r="K37" s="12" t="s">
        <v>496</v>
      </c>
      <c r="L37" s="738">
        <v>3.6869999999999998</v>
      </c>
      <c r="M37" s="738">
        <v>4.0860000000000003</v>
      </c>
      <c r="N37" s="738">
        <v>3.093</v>
      </c>
      <c r="O37" s="739">
        <f t="shared" si="1"/>
        <v>10.866</v>
      </c>
      <c r="P37" s="738">
        <v>3.282</v>
      </c>
      <c r="Q37" s="738">
        <v>2.6339999999999999</v>
      </c>
      <c r="R37" s="739">
        <f t="shared" si="2"/>
        <v>5.9160000000000004</v>
      </c>
      <c r="S37" s="12" t="s">
        <v>1419</v>
      </c>
      <c r="T37" s="91">
        <v>31</v>
      </c>
      <c r="U37" s="12" t="s">
        <v>496</v>
      </c>
      <c r="V37" s="738">
        <v>14.71</v>
      </c>
      <c r="W37" s="738">
        <v>48.123999999999995</v>
      </c>
      <c r="X37" s="738">
        <f t="shared" si="3"/>
        <v>33.413999999999994</v>
      </c>
      <c r="Y37" s="737">
        <f t="shared" si="4"/>
        <v>327.15159755268519</v>
      </c>
      <c r="Z37" s="736">
        <f t="shared" si="5"/>
        <v>27.805</v>
      </c>
      <c r="AA37" s="12" t="s">
        <v>1418</v>
      </c>
      <c r="AB37" s="91">
        <v>31</v>
      </c>
      <c r="AC37" s="12" t="s">
        <v>496</v>
      </c>
      <c r="AD37" s="736">
        <f t="shared" si="6"/>
        <v>17.344000000000001</v>
      </c>
      <c r="AE37" s="736">
        <f t="shared" si="7"/>
        <v>729.57500000000005</v>
      </c>
      <c r="AF37" s="736">
        <f t="shared" si="8"/>
        <v>740.03599999999994</v>
      </c>
      <c r="AG37" s="12" t="s">
        <v>174</v>
      </c>
      <c r="AH37" s="91">
        <v>31</v>
      </c>
      <c r="AI37" s="12" t="s">
        <v>496</v>
      </c>
      <c r="AJ37" s="734">
        <v>825</v>
      </c>
      <c r="AK37" s="734">
        <v>757.38</v>
      </c>
      <c r="AL37" s="734">
        <v>717.06899999999996</v>
      </c>
      <c r="AM37" s="116">
        <v>7.18</v>
      </c>
      <c r="AN37" s="116">
        <v>1.639</v>
      </c>
      <c r="AO37" s="117">
        <v>8.8189999999999991</v>
      </c>
      <c r="AP37" s="12" t="s">
        <v>174</v>
      </c>
      <c r="AQ37" s="91">
        <v>31</v>
      </c>
      <c r="AR37" s="12" t="s">
        <v>496</v>
      </c>
      <c r="AS37" s="116">
        <v>3.6869999999999998</v>
      </c>
      <c r="AT37" s="116">
        <v>4.0860000000000003</v>
      </c>
      <c r="AU37" s="116">
        <v>3.093</v>
      </c>
      <c r="AV37" s="117">
        <v>10.866</v>
      </c>
      <c r="AW37" s="116">
        <v>3.282</v>
      </c>
      <c r="AX37" s="116">
        <v>2.6339999999999999</v>
      </c>
      <c r="AY37" s="117">
        <v>5.9160000000000004</v>
      </c>
      <c r="AZ37" s="12" t="s">
        <v>1419</v>
      </c>
      <c r="BA37" s="91">
        <v>31</v>
      </c>
      <c r="BB37" s="12" t="s">
        <v>496</v>
      </c>
      <c r="BC37" s="116">
        <v>14.71</v>
      </c>
      <c r="BD37" s="116">
        <v>44.216999999999999</v>
      </c>
      <c r="BE37" s="116">
        <v>29.506999999999998</v>
      </c>
      <c r="BF37" s="733">
        <f t="shared" si="9"/>
        <v>300.59143439836845</v>
      </c>
      <c r="BG37" s="732">
        <f t="shared" si="10"/>
        <v>27.805</v>
      </c>
      <c r="BH37" s="12" t="s">
        <v>1418</v>
      </c>
      <c r="BI37" s="91">
        <v>31</v>
      </c>
      <c r="BJ37" s="12" t="s">
        <v>496</v>
      </c>
      <c r="BK37" s="732">
        <v>17.344000000000001</v>
      </c>
      <c r="BL37" s="732">
        <v>729.57500000000005</v>
      </c>
      <c r="BM37" s="732">
        <v>740.03599999999994</v>
      </c>
      <c r="BN37" s="12" t="s">
        <v>174</v>
      </c>
      <c r="BP37" s="1693">
        <v>31</v>
      </c>
      <c r="BQ37" s="1696" t="s">
        <v>175</v>
      </c>
      <c r="BR37" s="1691">
        <v>0.21199999999999999</v>
      </c>
      <c r="BS37" s="1691">
        <v>5.3559999999999999</v>
      </c>
      <c r="BT37" s="1691"/>
      <c r="BU37" s="1691">
        <f t="shared" si="11"/>
        <v>5.3559999999999999</v>
      </c>
      <c r="BV37" s="1699"/>
      <c r="BW37" s="1699">
        <v>0.17199999999999999</v>
      </c>
      <c r="BX37" s="1699"/>
      <c r="BY37" s="1694">
        <f t="shared" si="12"/>
        <v>0.17199999999999999</v>
      </c>
      <c r="BZ37" s="1697" t="s">
        <v>38</v>
      </c>
      <c r="CA37" s="1806">
        <v>31</v>
      </c>
      <c r="CB37" s="1696" t="s">
        <v>175</v>
      </c>
      <c r="CC37" s="1699">
        <v>0.05</v>
      </c>
      <c r="CD37" s="1699">
        <v>5.2999999999999999E-2</v>
      </c>
      <c r="CE37" s="1694">
        <f t="shared" si="13"/>
        <v>0.10300000000000001</v>
      </c>
      <c r="CF37" s="1699">
        <v>1.1819999999999999</v>
      </c>
      <c r="CG37" s="1699">
        <v>1.3480000000000001</v>
      </c>
      <c r="CH37" s="1694">
        <f t="shared" si="14"/>
        <v>0.16600000000000015</v>
      </c>
      <c r="CI37" s="1695">
        <f t="shared" si="15"/>
        <v>114.04399323181052</v>
      </c>
      <c r="CJ37" s="1696" t="s">
        <v>38</v>
      </c>
    </row>
    <row r="38" spans="1:89" s="7" customFormat="1" ht="35.25" customHeight="1">
      <c r="A38" s="91">
        <v>32</v>
      </c>
      <c r="B38" s="5" t="s">
        <v>38</v>
      </c>
      <c r="C38" s="5">
        <v>11</v>
      </c>
      <c r="D38" s="739">
        <v>7.0249999999999986</v>
      </c>
      <c r="E38" s="738">
        <v>0.21199999999999999</v>
      </c>
      <c r="F38" s="738">
        <v>5.3559999999999999</v>
      </c>
      <c r="G38" s="738"/>
      <c r="H38" s="739">
        <f t="shared" si="0"/>
        <v>5.3559999999999999</v>
      </c>
      <c r="I38" s="5" t="s">
        <v>175</v>
      </c>
      <c r="J38" s="91">
        <v>32</v>
      </c>
      <c r="K38" s="5" t="s">
        <v>38</v>
      </c>
      <c r="L38" s="738"/>
      <c r="M38" s="738">
        <v>0.17199999999999999</v>
      </c>
      <c r="N38" s="738"/>
      <c r="O38" s="739">
        <f t="shared" si="1"/>
        <v>0.17199999999999999</v>
      </c>
      <c r="P38" s="738">
        <v>0.05</v>
      </c>
      <c r="Q38" s="738">
        <v>5.2999999999999999E-2</v>
      </c>
      <c r="R38" s="739">
        <f t="shared" si="2"/>
        <v>0.10300000000000001</v>
      </c>
      <c r="S38" s="5" t="s">
        <v>175</v>
      </c>
      <c r="T38" s="91">
        <v>32</v>
      </c>
      <c r="U38" s="5" t="s">
        <v>38</v>
      </c>
      <c r="V38" s="738">
        <v>1.1819999999999999</v>
      </c>
      <c r="W38" s="738">
        <v>1.3070000000000002</v>
      </c>
      <c r="X38" s="738">
        <f t="shared" si="3"/>
        <v>0.12500000000000022</v>
      </c>
      <c r="Y38" s="737">
        <f t="shared" si="4"/>
        <v>110.57529610829104</v>
      </c>
      <c r="Z38" s="736">
        <f t="shared" si="5"/>
        <v>1.4569999999999999</v>
      </c>
      <c r="AA38" s="5" t="s">
        <v>175</v>
      </c>
      <c r="AB38" s="91">
        <v>32</v>
      </c>
      <c r="AC38" s="5" t="s">
        <v>38</v>
      </c>
      <c r="AD38" s="736">
        <f t="shared" si="6"/>
        <v>1.2349999999999999</v>
      </c>
      <c r="AE38" s="736">
        <f t="shared" si="7"/>
        <v>5.5679999999999987</v>
      </c>
      <c r="AF38" s="736">
        <f t="shared" si="8"/>
        <v>5.7899999999999991</v>
      </c>
      <c r="AG38" s="5" t="s">
        <v>175</v>
      </c>
      <c r="AH38" s="91">
        <v>32</v>
      </c>
      <c r="AI38" s="5" t="s">
        <v>38</v>
      </c>
      <c r="AJ38" s="734">
        <v>11</v>
      </c>
      <c r="AK38" s="734">
        <v>7.0249999999999986</v>
      </c>
      <c r="AL38" s="734">
        <v>0.21199999999999999</v>
      </c>
      <c r="AM38" s="116">
        <v>5.3559999999999999</v>
      </c>
      <c r="AN38" s="116"/>
      <c r="AO38" s="117">
        <v>5.3559999999999999</v>
      </c>
      <c r="AP38" s="5" t="s">
        <v>175</v>
      </c>
      <c r="AQ38" s="91">
        <v>32</v>
      </c>
      <c r="AR38" s="5" t="s">
        <v>38</v>
      </c>
      <c r="AS38" s="116"/>
      <c r="AT38" s="116">
        <v>0.17199999999999999</v>
      </c>
      <c r="AU38" s="116"/>
      <c r="AV38" s="117">
        <v>0.17199999999999999</v>
      </c>
      <c r="AW38" s="116">
        <v>0.05</v>
      </c>
      <c r="AX38" s="116">
        <v>5.2999999999999999E-2</v>
      </c>
      <c r="AY38" s="117">
        <v>0.10300000000000001</v>
      </c>
      <c r="AZ38" s="5" t="s">
        <v>175</v>
      </c>
      <c r="BA38" s="91">
        <v>32</v>
      </c>
      <c r="BB38" s="5" t="s">
        <v>38</v>
      </c>
      <c r="BC38" s="116">
        <v>1.1819999999999999</v>
      </c>
      <c r="BD38" s="116">
        <v>1.3480000000000001</v>
      </c>
      <c r="BE38" s="116">
        <v>0.16600000000000015</v>
      </c>
      <c r="BF38" s="733">
        <f t="shared" si="9"/>
        <v>114.04399323181052</v>
      </c>
      <c r="BG38" s="732">
        <f t="shared" si="10"/>
        <v>1.4569999999999999</v>
      </c>
      <c r="BH38" s="5" t="s">
        <v>175</v>
      </c>
      <c r="BI38" s="91">
        <v>32</v>
      </c>
      <c r="BJ38" s="5" t="s">
        <v>38</v>
      </c>
      <c r="BK38" s="732">
        <v>1.2349999999999999</v>
      </c>
      <c r="BL38" s="732">
        <v>5.5679999999999987</v>
      </c>
      <c r="BM38" s="732">
        <v>5.7899999999999991</v>
      </c>
      <c r="BN38" s="5" t="s">
        <v>175</v>
      </c>
      <c r="BP38" s="1698">
        <v>32</v>
      </c>
      <c r="BQ38" s="1700" t="s">
        <v>176</v>
      </c>
      <c r="BR38" s="1691">
        <v>20.352</v>
      </c>
      <c r="BS38" s="1691">
        <v>3.7509999999999999</v>
      </c>
      <c r="BT38" s="1691">
        <v>8.6999999999999994E-2</v>
      </c>
      <c r="BU38" s="1691">
        <f t="shared" si="11"/>
        <v>3.8380000000000001</v>
      </c>
      <c r="BV38" s="1699">
        <v>2.2530000000000001E-2</v>
      </c>
      <c r="BW38" s="1699"/>
      <c r="BX38" s="1699">
        <v>3.6830000000000002E-2</v>
      </c>
      <c r="BY38" s="1694">
        <f t="shared" si="12"/>
        <v>5.9360000000000003E-2</v>
      </c>
      <c r="BZ38" s="1701" t="s">
        <v>1417</v>
      </c>
      <c r="CA38" s="1807">
        <v>32</v>
      </c>
      <c r="CB38" s="1700" t="s">
        <v>176</v>
      </c>
      <c r="CC38" s="1699">
        <v>4.5969999999999997E-2</v>
      </c>
      <c r="CD38" s="1699">
        <v>9.2969999999999997E-2</v>
      </c>
      <c r="CE38" s="1694">
        <f t="shared" si="13"/>
        <v>0.13894000000000001</v>
      </c>
      <c r="CF38" s="1699">
        <v>19.882449999999999</v>
      </c>
      <c r="CG38" s="1699">
        <v>19.916969999999996</v>
      </c>
      <c r="CH38" s="1694">
        <f t="shared" si="14"/>
        <v>3.4519999999996998E-2</v>
      </c>
      <c r="CI38" s="1695">
        <f t="shared" si="15"/>
        <v>100.17362045421967</v>
      </c>
      <c r="CJ38" s="1700" t="s">
        <v>1417</v>
      </c>
    </row>
    <row r="39" spans="1:89" s="7" customFormat="1" ht="21" customHeight="1">
      <c r="A39" s="91">
        <v>33</v>
      </c>
      <c r="B39" s="12" t="s">
        <v>1417</v>
      </c>
      <c r="C39" s="5">
        <v>49</v>
      </c>
      <c r="D39" s="739">
        <v>48.882000000000005</v>
      </c>
      <c r="E39" s="738">
        <v>20.352</v>
      </c>
      <c r="F39" s="738">
        <v>3.673</v>
      </c>
      <c r="G39" s="738">
        <v>8.4000000000000005E-2</v>
      </c>
      <c r="H39" s="739">
        <f t="shared" si="0"/>
        <v>3.7570000000000001</v>
      </c>
      <c r="I39" s="12" t="s">
        <v>176</v>
      </c>
      <c r="J39" s="91">
        <v>33</v>
      </c>
      <c r="K39" s="12" t="s">
        <v>1417</v>
      </c>
      <c r="L39" s="738">
        <v>0.92400000000000004</v>
      </c>
      <c r="M39" s="738"/>
      <c r="N39" s="738">
        <v>0.46200000000000002</v>
      </c>
      <c r="O39" s="739">
        <f t="shared" si="1"/>
        <v>1.3860000000000001</v>
      </c>
      <c r="P39" s="738">
        <v>2.14</v>
      </c>
      <c r="Q39" s="738">
        <v>2.3090000000000002</v>
      </c>
      <c r="R39" s="739">
        <f t="shared" si="2"/>
        <v>4.4489999999999998</v>
      </c>
      <c r="S39" s="12" t="s">
        <v>176</v>
      </c>
      <c r="T39" s="91">
        <v>33</v>
      </c>
      <c r="U39" s="12" t="s">
        <v>1417</v>
      </c>
      <c r="V39" s="738">
        <v>18.937999999999999</v>
      </c>
      <c r="W39" s="738">
        <v>23.443000000000005</v>
      </c>
      <c r="X39" s="738">
        <f t="shared" si="3"/>
        <v>4.5050000000000061</v>
      </c>
      <c r="Y39" s="737">
        <f t="shared" si="4"/>
        <v>123.78815080789948</v>
      </c>
      <c r="Z39" s="736">
        <f t="shared" si="5"/>
        <v>23.848999999999997</v>
      </c>
      <c r="AA39" s="12" t="s">
        <v>176</v>
      </c>
      <c r="AB39" s="91">
        <v>33</v>
      </c>
      <c r="AC39" s="12" t="s">
        <v>1417</v>
      </c>
      <c r="AD39" s="736">
        <f t="shared" si="6"/>
        <v>21.247</v>
      </c>
      <c r="AE39" s="736">
        <f t="shared" si="7"/>
        <v>25.033000000000008</v>
      </c>
      <c r="AF39" s="736">
        <f t="shared" si="8"/>
        <v>27.635000000000005</v>
      </c>
      <c r="AG39" s="12" t="s">
        <v>176</v>
      </c>
      <c r="AH39" s="91">
        <v>33</v>
      </c>
      <c r="AI39" s="12" t="s">
        <v>1417</v>
      </c>
      <c r="AJ39" s="734">
        <v>49</v>
      </c>
      <c r="AK39" s="734">
        <v>48.882000000000005</v>
      </c>
      <c r="AL39" s="734">
        <v>20.350999999999999</v>
      </c>
      <c r="AM39" s="116">
        <v>3.673</v>
      </c>
      <c r="AN39" s="116">
        <v>8.4000000000000005E-2</v>
      </c>
      <c r="AO39" s="117">
        <v>3.7570000000000001</v>
      </c>
      <c r="AP39" s="12" t="s">
        <v>176</v>
      </c>
      <c r="AQ39" s="91">
        <v>33</v>
      </c>
      <c r="AR39" s="12" t="s">
        <v>1417</v>
      </c>
      <c r="AS39" s="116">
        <v>0.92400000000000004</v>
      </c>
      <c r="AT39" s="116"/>
      <c r="AU39" s="116">
        <v>0.46899999999999997</v>
      </c>
      <c r="AV39" s="117">
        <v>1.393</v>
      </c>
      <c r="AW39" s="116">
        <v>2.1720000000000002</v>
      </c>
      <c r="AX39" s="116">
        <v>2.3279999999999998</v>
      </c>
      <c r="AY39" s="117">
        <v>4.5</v>
      </c>
      <c r="AZ39" s="12" t="s">
        <v>176</v>
      </c>
      <c r="BA39" s="91">
        <v>33</v>
      </c>
      <c r="BB39" s="12" t="s">
        <v>1417</v>
      </c>
      <c r="BC39" s="116">
        <v>18.881</v>
      </c>
      <c r="BD39" s="116">
        <v>23.376999999999999</v>
      </c>
      <c r="BE39" s="116">
        <v>4.4959999999999987</v>
      </c>
      <c r="BF39" s="733">
        <f t="shared" si="9"/>
        <v>123.81229807743233</v>
      </c>
      <c r="BG39" s="732">
        <f t="shared" si="10"/>
        <v>23.85</v>
      </c>
      <c r="BH39" s="12" t="s">
        <v>176</v>
      </c>
      <c r="BI39" s="91">
        <v>33</v>
      </c>
      <c r="BJ39" s="12" t="s">
        <v>1417</v>
      </c>
      <c r="BK39" s="732">
        <v>21.209</v>
      </c>
      <c r="BL39" s="732">
        <v>25.032000000000004</v>
      </c>
      <c r="BM39" s="732">
        <v>27.673000000000005</v>
      </c>
      <c r="BN39" s="12" t="s">
        <v>176</v>
      </c>
      <c r="BP39" s="1698">
        <v>33</v>
      </c>
      <c r="BQ39" s="1696" t="s">
        <v>177</v>
      </c>
      <c r="BR39" s="1691"/>
      <c r="BS39" s="1691">
        <v>0.183</v>
      </c>
      <c r="BT39" s="1691"/>
      <c r="BU39" s="1691">
        <f t="shared" si="11"/>
        <v>0.183</v>
      </c>
      <c r="BV39" s="1699"/>
      <c r="BW39" s="1699">
        <v>5.5E-2</v>
      </c>
      <c r="BX39" s="1699">
        <v>5.7000000000000002E-2</v>
      </c>
      <c r="BY39" s="1694">
        <f t="shared" si="12"/>
        <v>0.112</v>
      </c>
      <c r="BZ39" s="1697" t="s">
        <v>4</v>
      </c>
      <c r="CA39" s="1807">
        <v>33</v>
      </c>
      <c r="CB39" s="1696" t="s">
        <v>177</v>
      </c>
      <c r="CC39" s="1699">
        <v>8.0000000000000002E-3</v>
      </c>
      <c r="CD39" s="1699">
        <v>0.115</v>
      </c>
      <c r="CE39" s="1694">
        <f t="shared" si="13"/>
        <v>0.123</v>
      </c>
      <c r="CF39" s="1699">
        <v>2.6120000000000001</v>
      </c>
      <c r="CG39" s="1699">
        <v>2.6216099999999991</v>
      </c>
      <c r="CH39" s="1694">
        <f t="shared" si="14"/>
        <v>9.6099999999990082E-3</v>
      </c>
      <c r="CI39" s="1695">
        <f t="shared" si="15"/>
        <v>100.36791730474728</v>
      </c>
      <c r="CJ39" s="1696" t="s">
        <v>4</v>
      </c>
    </row>
    <row r="40" spans="1:89" s="7" customFormat="1" ht="17.100000000000001" customHeight="1">
      <c r="A40" s="91">
        <v>35</v>
      </c>
      <c r="B40" s="5" t="s">
        <v>4</v>
      </c>
      <c r="C40" s="5">
        <v>11</v>
      </c>
      <c r="D40" s="739">
        <v>3.145</v>
      </c>
      <c r="E40" s="738"/>
      <c r="F40" s="738">
        <v>0.184</v>
      </c>
      <c r="G40" s="738"/>
      <c r="H40" s="739">
        <f t="shared" si="0"/>
        <v>0.184</v>
      </c>
      <c r="I40" s="5" t="s">
        <v>177</v>
      </c>
      <c r="J40" s="91">
        <v>35</v>
      </c>
      <c r="K40" s="5" t="s">
        <v>4</v>
      </c>
      <c r="L40" s="738"/>
      <c r="M40" s="738">
        <v>5.6000000000000001E-2</v>
      </c>
      <c r="N40" s="738">
        <v>5.6000000000000001E-2</v>
      </c>
      <c r="O40" s="739">
        <f t="shared" si="1"/>
        <v>0.112</v>
      </c>
      <c r="P40" s="738">
        <v>8.0000000000000002E-3</v>
      </c>
      <c r="Q40" s="738">
        <v>0.115</v>
      </c>
      <c r="R40" s="739">
        <f t="shared" si="2"/>
        <v>0.123</v>
      </c>
      <c r="S40" s="5" t="s">
        <v>177</v>
      </c>
      <c r="T40" s="91">
        <v>35</v>
      </c>
      <c r="U40" s="5" t="s">
        <v>4</v>
      </c>
      <c r="V40" s="738">
        <v>2.726</v>
      </c>
      <c r="W40" s="738">
        <v>2.8019999999999996</v>
      </c>
      <c r="X40" s="738">
        <f t="shared" si="3"/>
        <v>7.5999999999999623E-2</v>
      </c>
      <c r="Y40" s="737">
        <f t="shared" si="4"/>
        <v>102.7879677182685</v>
      </c>
      <c r="Z40" s="736">
        <f t="shared" si="5"/>
        <v>2.9609999999999999</v>
      </c>
      <c r="AA40" s="5" t="s">
        <v>177</v>
      </c>
      <c r="AB40" s="91">
        <v>35</v>
      </c>
      <c r="AC40" s="5" t="s">
        <v>4</v>
      </c>
      <c r="AD40" s="736">
        <f t="shared" si="6"/>
        <v>2.8410000000000002</v>
      </c>
      <c r="AE40" s="736">
        <f t="shared" si="7"/>
        <v>0.18400000000000016</v>
      </c>
      <c r="AF40" s="736">
        <f t="shared" si="8"/>
        <v>0.30399999999999983</v>
      </c>
      <c r="AG40" s="5" t="s">
        <v>177</v>
      </c>
      <c r="AH40" s="91">
        <v>35</v>
      </c>
      <c r="AI40" s="5" t="s">
        <v>4</v>
      </c>
      <c r="AJ40" s="734">
        <v>11</v>
      </c>
      <c r="AK40" s="734">
        <v>3.145</v>
      </c>
      <c r="AL40" s="734"/>
      <c r="AM40" s="116">
        <v>0.184</v>
      </c>
      <c r="AN40" s="116"/>
      <c r="AO40" s="117">
        <v>0.184</v>
      </c>
      <c r="AP40" s="5" t="s">
        <v>177</v>
      </c>
      <c r="AQ40" s="91">
        <v>35</v>
      </c>
      <c r="AR40" s="5" t="s">
        <v>4</v>
      </c>
      <c r="AS40" s="116"/>
      <c r="AT40" s="116">
        <v>5.6000000000000001E-2</v>
      </c>
      <c r="AU40" s="116">
        <v>5.6000000000000001E-2</v>
      </c>
      <c r="AV40" s="117">
        <v>0.112</v>
      </c>
      <c r="AW40" s="116">
        <v>8.0000000000000002E-3</v>
      </c>
      <c r="AX40" s="116">
        <v>0.115</v>
      </c>
      <c r="AY40" s="117">
        <v>0.123</v>
      </c>
      <c r="AZ40" s="5" t="s">
        <v>177</v>
      </c>
      <c r="BA40" s="91">
        <v>35</v>
      </c>
      <c r="BB40" s="5" t="s">
        <v>4</v>
      </c>
      <c r="BC40" s="116">
        <v>2.726</v>
      </c>
      <c r="BD40" s="116">
        <v>2.8019999999999996</v>
      </c>
      <c r="BE40" s="116">
        <v>7.5999999999999623E-2</v>
      </c>
      <c r="BF40" s="733">
        <f t="shared" si="9"/>
        <v>102.7879677182685</v>
      </c>
      <c r="BG40" s="732">
        <f t="shared" si="10"/>
        <v>2.9609999999999999</v>
      </c>
      <c r="BH40" s="5" t="s">
        <v>177</v>
      </c>
      <c r="BI40" s="91">
        <v>35</v>
      </c>
      <c r="BJ40" s="5" t="s">
        <v>4</v>
      </c>
      <c r="BK40" s="732">
        <v>2.8410000000000002</v>
      </c>
      <c r="BL40" s="732">
        <v>0.18400000000000016</v>
      </c>
      <c r="BM40" s="732">
        <v>0.30399999999999983</v>
      </c>
      <c r="BN40" s="5" t="s">
        <v>177</v>
      </c>
      <c r="BP40" s="1698">
        <v>34</v>
      </c>
      <c r="BQ40" s="1696" t="s">
        <v>149</v>
      </c>
      <c r="BR40" s="1691">
        <v>1.4770000000000001</v>
      </c>
      <c r="BS40" s="1691">
        <v>75.484999999999999</v>
      </c>
      <c r="BT40" s="1691">
        <v>17.707999999999998</v>
      </c>
      <c r="BU40" s="1691">
        <f t="shared" si="11"/>
        <v>93.192999999999998</v>
      </c>
      <c r="BV40" s="1699">
        <v>6.0999999999999999E-2</v>
      </c>
      <c r="BW40" s="1699">
        <v>1.177</v>
      </c>
      <c r="BX40" s="1699">
        <v>9.8930000000000007</v>
      </c>
      <c r="BY40" s="1694">
        <f t="shared" si="12"/>
        <v>11.131</v>
      </c>
      <c r="BZ40" s="1697" t="s">
        <v>24</v>
      </c>
      <c r="CA40" s="1807">
        <v>34</v>
      </c>
      <c r="CB40" s="1696" t="s">
        <v>149</v>
      </c>
      <c r="CC40" s="1699">
        <v>8.0640000000000001</v>
      </c>
      <c r="CD40" s="1699">
        <v>11.734</v>
      </c>
      <c r="CE40" s="1694">
        <f t="shared" si="13"/>
        <v>19.798000000000002</v>
      </c>
      <c r="CF40" s="1699">
        <v>21.888999999999999</v>
      </c>
      <c r="CG40" s="1699">
        <v>58.89</v>
      </c>
      <c r="CH40" s="1694">
        <f t="shared" si="14"/>
        <v>37.001000000000005</v>
      </c>
      <c r="CI40" s="1695">
        <f t="shared" si="15"/>
        <v>269.039243455617</v>
      </c>
      <c r="CJ40" s="1696" t="s">
        <v>24</v>
      </c>
    </row>
    <row r="41" spans="1:89" s="33" customFormat="1" ht="17.100000000000001" customHeight="1">
      <c r="A41" s="91">
        <v>35</v>
      </c>
      <c r="B41" s="5" t="s">
        <v>7</v>
      </c>
      <c r="C41" s="5">
        <v>3</v>
      </c>
      <c r="D41" s="739">
        <v>2.6589999999999998</v>
      </c>
      <c r="E41" s="738"/>
      <c r="F41" s="738">
        <v>0.52</v>
      </c>
      <c r="G41" s="738"/>
      <c r="H41" s="739">
        <f t="shared" si="0"/>
        <v>0.52</v>
      </c>
      <c r="I41" s="5" t="s">
        <v>178</v>
      </c>
      <c r="J41" s="91">
        <v>35</v>
      </c>
      <c r="K41" s="5" t="s">
        <v>7</v>
      </c>
      <c r="L41" s="738"/>
      <c r="M41" s="738"/>
      <c r="N41" s="738"/>
      <c r="O41" s="739">
        <f t="shared" si="1"/>
        <v>0</v>
      </c>
      <c r="P41" s="738"/>
      <c r="Q41" s="738"/>
      <c r="R41" s="739">
        <f t="shared" si="2"/>
        <v>0</v>
      </c>
      <c r="S41" s="5" t="s">
        <v>178</v>
      </c>
      <c r="T41" s="91">
        <v>35</v>
      </c>
      <c r="U41" s="5" t="s">
        <v>7</v>
      </c>
      <c r="V41" s="738">
        <v>2.1389999999999998</v>
      </c>
      <c r="W41" s="738">
        <v>2.2909999999999995</v>
      </c>
      <c r="X41" s="738">
        <f t="shared" si="3"/>
        <v>0.15199999999999969</v>
      </c>
      <c r="Y41" s="737">
        <f t="shared" si="4"/>
        <v>107.10612435717624</v>
      </c>
      <c r="Z41" s="736">
        <f t="shared" si="5"/>
        <v>2.1389999999999998</v>
      </c>
      <c r="AA41" s="5" t="s">
        <v>178</v>
      </c>
      <c r="AB41" s="91">
        <v>35</v>
      </c>
      <c r="AC41" s="5" t="s">
        <v>7</v>
      </c>
      <c r="AD41" s="736">
        <f t="shared" si="6"/>
        <v>2.1389999999999998</v>
      </c>
      <c r="AE41" s="736">
        <f t="shared" si="7"/>
        <v>0.52</v>
      </c>
      <c r="AF41" s="736">
        <f t="shared" si="8"/>
        <v>0.52</v>
      </c>
      <c r="AG41" s="5" t="s">
        <v>178</v>
      </c>
      <c r="AH41" s="91">
        <v>35</v>
      </c>
      <c r="AI41" s="5" t="s">
        <v>7</v>
      </c>
      <c r="AJ41" s="734">
        <v>3</v>
      </c>
      <c r="AK41" s="734">
        <v>2.6589999999999998</v>
      </c>
      <c r="AL41" s="734"/>
      <c r="AM41" s="116">
        <v>0.52400000000000002</v>
      </c>
      <c r="AN41" s="116"/>
      <c r="AO41" s="117">
        <v>0.52400000000000002</v>
      </c>
      <c r="AP41" s="5" t="s">
        <v>178</v>
      </c>
      <c r="AQ41" s="91">
        <v>35</v>
      </c>
      <c r="AR41" s="5" t="s">
        <v>7</v>
      </c>
      <c r="AS41" s="116"/>
      <c r="AT41" s="116"/>
      <c r="AU41" s="116"/>
      <c r="AV41" s="117"/>
      <c r="AW41" s="116"/>
      <c r="AX41" s="116"/>
      <c r="AY41" s="117"/>
      <c r="AZ41" s="5" t="s">
        <v>178</v>
      </c>
      <c r="BA41" s="91">
        <v>35</v>
      </c>
      <c r="BB41" s="5" t="s">
        <v>7</v>
      </c>
      <c r="BC41" s="116">
        <v>2.1349999999999998</v>
      </c>
      <c r="BD41" s="116">
        <v>2.2879999999999998</v>
      </c>
      <c r="BE41" s="116">
        <v>0.15300000000000002</v>
      </c>
      <c r="BF41" s="733">
        <f t="shared" si="9"/>
        <v>107.16627634660423</v>
      </c>
      <c r="BG41" s="732">
        <f t="shared" si="10"/>
        <v>2.1349999999999998</v>
      </c>
      <c r="BH41" s="5" t="s">
        <v>178</v>
      </c>
      <c r="BI41" s="91">
        <v>35</v>
      </c>
      <c r="BJ41" s="5" t="s">
        <v>7</v>
      </c>
      <c r="BK41" s="732">
        <v>2.1349999999999998</v>
      </c>
      <c r="BL41" s="732">
        <v>0.52400000000000002</v>
      </c>
      <c r="BM41" s="732">
        <v>0.52400000000000002</v>
      </c>
      <c r="BN41" s="5" t="s">
        <v>178</v>
      </c>
      <c r="BP41" s="1698">
        <v>35</v>
      </c>
      <c r="BQ41" s="1696" t="s">
        <v>178</v>
      </c>
      <c r="BR41" s="1691"/>
      <c r="BS41" s="1691">
        <v>0.45</v>
      </c>
      <c r="BT41" s="1691"/>
      <c r="BU41" s="1691">
        <f t="shared" si="11"/>
        <v>0.45</v>
      </c>
      <c r="BV41" s="1699"/>
      <c r="BW41" s="1699"/>
      <c r="BX41" s="1699"/>
      <c r="BY41" s="1694">
        <f t="shared" si="12"/>
        <v>0</v>
      </c>
      <c r="BZ41" s="1697" t="s">
        <v>7</v>
      </c>
      <c r="CA41" s="1807">
        <v>35</v>
      </c>
      <c r="CB41" s="1696" t="s">
        <v>178</v>
      </c>
      <c r="CC41" s="1699"/>
      <c r="CD41" s="1699"/>
      <c r="CE41" s="1694">
        <f t="shared" si="13"/>
        <v>0</v>
      </c>
      <c r="CF41" s="1699">
        <v>2.6749999999999998</v>
      </c>
      <c r="CG41" s="1699">
        <v>2.6984300000000001</v>
      </c>
      <c r="CH41" s="1694">
        <f t="shared" si="14"/>
        <v>2.3430000000000284E-2</v>
      </c>
      <c r="CI41" s="1695">
        <f t="shared" si="15"/>
        <v>100.87588785046731</v>
      </c>
      <c r="CJ41" s="1696" t="s">
        <v>7</v>
      </c>
    </row>
    <row r="42" spans="1:89" s="7" customFormat="1" ht="17.100000000000001" customHeight="1">
      <c r="A42" s="91">
        <v>36</v>
      </c>
      <c r="B42" s="5" t="s">
        <v>10</v>
      </c>
      <c r="C42" s="5">
        <v>48</v>
      </c>
      <c r="D42" s="739">
        <v>48.651000000000003</v>
      </c>
      <c r="E42" s="738">
        <v>0.39900000000000002</v>
      </c>
      <c r="F42" s="738">
        <v>19.285</v>
      </c>
      <c r="G42" s="738">
        <v>7.0999999999999994E-2</v>
      </c>
      <c r="H42" s="739">
        <f t="shared" si="0"/>
        <v>19.356000000000002</v>
      </c>
      <c r="I42" s="5" t="s">
        <v>179</v>
      </c>
      <c r="J42" s="91">
        <v>36</v>
      </c>
      <c r="K42" s="5" t="s">
        <v>10</v>
      </c>
      <c r="L42" s="738"/>
      <c r="M42" s="738">
        <v>1.1579999999999999</v>
      </c>
      <c r="N42" s="738">
        <v>4.3330000000000002</v>
      </c>
      <c r="O42" s="739">
        <f t="shared" si="1"/>
        <v>5.4909999999999997</v>
      </c>
      <c r="P42" s="738">
        <v>3.0939999999999999</v>
      </c>
      <c r="Q42" s="738">
        <v>5.274</v>
      </c>
      <c r="R42" s="739">
        <f t="shared" si="2"/>
        <v>8.3680000000000003</v>
      </c>
      <c r="S42" s="5" t="s">
        <v>179</v>
      </c>
      <c r="T42" s="91">
        <v>36</v>
      </c>
      <c r="U42" s="5" t="s">
        <v>10</v>
      </c>
      <c r="V42" s="738">
        <v>15.037000000000001</v>
      </c>
      <c r="W42" s="738">
        <v>25.689999999999998</v>
      </c>
      <c r="X42" s="738">
        <f t="shared" si="3"/>
        <v>10.652999999999997</v>
      </c>
      <c r="Y42" s="737">
        <f t="shared" si="4"/>
        <v>170.84524838731127</v>
      </c>
      <c r="Z42" s="736">
        <f t="shared" si="5"/>
        <v>28.896000000000001</v>
      </c>
      <c r="AA42" s="5" t="s">
        <v>179</v>
      </c>
      <c r="AB42" s="91">
        <v>36</v>
      </c>
      <c r="AC42" s="5" t="s">
        <v>10</v>
      </c>
      <c r="AD42" s="736">
        <f t="shared" si="6"/>
        <v>20.311</v>
      </c>
      <c r="AE42" s="736">
        <f t="shared" si="7"/>
        <v>19.755000000000003</v>
      </c>
      <c r="AF42" s="735">
        <f t="shared" si="8"/>
        <v>28.340000000000003</v>
      </c>
      <c r="AG42" s="5" t="s">
        <v>1416</v>
      </c>
      <c r="AH42" s="91">
        <v>36</v>
      </c>
      <c r="AI42" s="5" t="s">
        <v>10</v>
      </c>
      <c r="AJ42" s="734">
        <v>48</v>
      </c>
      <c r="AK42" s="734">
        <v>48.650999999999996</v>
      </c>
      <c r="AL42" s="734">
        <v>0.39300000000000002</v>
      </c>
      <c r="AM42" s="116">
        <v>19.385999999999999</v>
      </c>
      <c r="AN42" s="116">
        <v>0.125</v>
      </c>
      <c r="AO42" s="117">
        <v>19.510999999999999</v>
      </c>
      <c r="AP42" s="5" t="s">
        <v>179</v>
      </c>
      <c r="AQ42" s="91">
        <v>36</v>
      </c>
      <c r="AR42" s="5" t="s">
        <v>10</v>
      </c>
      <c r="AS42" s="116"/>
      <c r="AT42" s="116">
        <v>1.163</v>
      </c>
      <c r="AU42" s="116">
        <v>4.4450000000000003</v>
      </c>
      <c r="AV42" s="117">
        <v>5.6080000000000005</v>
      </c>
      <c r="AW42" s="116">
        <v>3.0910000000000002</v>
      </c>
      <c r="AX42" s="116">
        <v>5.0389999999999997</v>
      </c>
      <c r="AY42" s="117">
        <v>8.129999999999999</v>
      </c>
      <c r="AZ42" s="5" t="s">
        <v>179</v>
      </c>
      <c r="BA42" s="91">
        <v>36</v>
      </c>
      <c r="BB42" s="5" t="s">
        <v>10</v>
      </c>
      <c r="BC42" s="116">
        <v>15.009</v>
      </c>
      <c r="BD42" s="116">
        <v>25.623000000000001</v>
      </c>
      <c r="BE42" s="116">
        <v>10.614000000000001</v>
      </c>
      <c r="BF42" s="733">
        <f t="shared" si="9"/>
        <v>170.71756945832502</v>
      </c>
      <c r="BG42" s="732">
        <f t="shared" si="10"/>
        <v>28.747</v>
      </c>
      <c r="BH42" s="5" t="s">
        <v>179</v>
      </c>
      <c r="BI42" s="91">
        <v>36</v>
      </c>
      <c r="BJ42" s="5" t="s">
        <v>10</v>
      </c>
      <c r="BK42" s="732">
        <v>20.048000000000002</v>
      </c>
      <c r="BL42" s="732">
        <v>19.903999999999996</v>
      </c>
      <c r="BM42" s="731">
        <v>28.602999999999994</v>
      </c>
      <c r="BN42" s="5" t="s">
        <v>179</v>
      </c>
      <c r="BP42" s="1693">
        <v>36</v>
      </c>
      <c r="BQ42" s="1696" t="s">
        <v>179</v>
      </c>
      <c r="BR42" s="1691">
        <v>0.39300000000000002</v>
      </c>
      <c r="BS42" s="1691">
        <v>19.768999999999998</v>
      </c>
      <c r="BT42" s="1691">
        <v>0.125</v>
      </c>
      <c r="BU42" s="1691">
        <f t="shared" si="11"/>
        <v>19.893999999999998</v>
      </c>
      <c r="BV42" s="1699"/>
      <c r="BW42" s="1699">
        <v>1.2050000000000001</v>
      </c>
      <c r="BX42" s="1699">
        <v>4.601</v>
      </c>
      <c r="BY42" s="1694">
        <f t="shared" si="12"/>
        <v>5.806</v>
      </c>
      <c r="BZ42" s="1697" t="s">
        <v>10</v>
      </c>
      <c r="CA42" s="1806">
        <v>36</v>
      </c>
      <c r="CB42" s="1696" t="s">
        <v>179</v>
      </c>
      <c r="CC42" s="1699">
        <v>3.2360000000000002</v>
      </c>
      <c r="CD42" s="1699">
        <v>4.0149999999999997</v>
      </c>
      <c r="CE42" s="1694">
        <f t="shared" si="13"/>
        <v>7.2509999999999994</v>
      </c>
      <c r="CF42" s="1699">
        <v>15.307</v>
      </c>
      <c r="CG42" s="1699">
        <v>26.716000000000001</v>
      </c>
      <c r="CH42" s="1694">
        <f t="shared" si="14"/>
        <v>11.409000000000001</v>
      </c>
      <c r="CI42" s="1695">
        <f t="shared" si="15"/>
        <v>174.53452668713661</v>
      </c>
      <c r="CJ42" s="1696" t="s">
        <v>10</v>
      </c>
    </row>
    <row r="43" spans="1:89" s="7" customFormat="1" ht="17.25" customHeight="1">
      <c r="A43" s="7" t="s">
        <v>1410</v>
      </c>
      <c r="C43" s="725"/>
      <c r="D43" s="725"/>
      <c r="E43" s="725"/>
      <c r="F43" s="725"/>
      <c r="G43" s="725"/>
      <c r="H43" s="725"/>
      <c r="I43" s="725"/>
      <c r="J43" s="7" t="s">
        <v>1410</v>
      </c>
      <c r="L43" s="725"/>
      <c r="M43" s="725"/>
      <c r="N43" s="725"/>
      <c r="O43" s="725"/>
      <c r="P43" s="725"/>
      <c r="Q43" s="725"/>
      <c r="R43" s="725"/>
      <c r="S43" s="725"/>
      <c r="T43" s="723" t="s">
        <v>1415</v>
      </c>
      <c r="U43" s="725"/>
      <c r="V43" s="730"/>
      <c r="X43" s="725"/>
      <c r="Y43" s="725"/>
      <c r="AB43" s="7" t="s">
        <v>1410</v>
      </c>
      <c r="AD43" s="729"/>
      <c r="AE43" s="729"/>
      <c r="AF43" s="729"/>
      <c r="AH43" s="7" t="s">
        <v>1410</v>
      </c>
      <c r="AJ43" s="725"/>
      <c r="AK43" s="725"/>
      <c r="AL43" s="725"/>
      <c r="AM43" s="725"/>
      <c r="AN43" s="725"/>
      <c r="AO43" s="725"/>
      <c r="AP43" s="725"/>
      <c r="AQ43" s="7" t="s">
        <v>1410</v>
      </c>
      <c r="AS43" s="725"/>
      <c r="AT43" s="725"/>
      <c r="AU43" s="725"/>
      <c r="AV43" s="725"/>
      <c r="AW43" s="725"/>
      <c r="AX43" s="725"/>
      <c r="AY43" s="725"/>
      <c r="AZ43" s="725"/>
      <c r="BA43" s="723" t="s">
        <v>1408</v>
      </c>
      <c r="BB43" s="725"/>
      <c r="BC43" s="730"/>
      <c r="BE43" s="725"/>
      <c r="BF43" s="725"/>
      <c r="BI43" s="7" t="s">
        <v>1410</v>
      </c>
      <c r="BK43" s="729"/>
      <c r="BL43" s="729"/>
      <c r="BM43" s="729"/>
      <c r="BP43" s="721" t="s">
        <v>1414</v>
      </c>
      <c r="BQ43" s="1798"/>
      <c r="BR43" s="1809"/>
      <c r="BS43" s="1809"/>
      <c r="BT43" s="1809"/>
      <c r="BU43" s="1809"/>
      <c r="BV43" s="1809"/>
      <c r="BW43" s="1809"/>
      <c r="BX43" s="1809"/>
      <c r="BY43" s="1809"/>
      <c r="BZ43" s="728"/>
      <c r="CA43" s="1798" t="s">
        <v>1414</v>
      </c>
      <c r="CB43" s="65"/>
      <c r="CC43" s="1342"/>
      <c r="CD43" s="1342"/>
      <c r="CE43" s="1342"/>
      <c r="CF43" s="1342"/>
      <c r="CG43" s="1342"/>
      <c r="CH43" s="1342"/>
      <c r="CI43" s="1342"/>
      <c r="CJ43" s="1342"/>
      <c r="CK43" s="1342"/>
    </row>
    <row r="44" spans="1:89" s="7" customFormat="1" ht="19.5" customHeight="1">
      <c r="A44" s="7" t="s">
        <v>1413</v>
      </c>
      <c r="B44" s="18"/>
      <c r="C44" s="18"/>
      <c r="D44" s="18"/>
      <c r="E44" s="725" t="s">
        <v>1412</v>
      </c>
      <c r="F44" s="2184" t="s">
        <v>1411</v>
      </c>
      <c r="G44" s="2184"/>
      <c r="H44" s="2184"/>
      <c r="I44" s="2184"/>
      <c r="J44" s="7" t="s">
        <v>1413</v>
      </c>
      <c r="K44" s="18"/>
      <c r="L44" s="18"/>
      <c r="M44" s="18"/>
      <c r="O44" s="725" t="s">
        <v>1412</v>
      </c>
      <c r="P44" s="2184" t="s">
        <v>1411</v>
      </c>
      <c r="Q44" s="2184"/>
      <c r="R44" s="2184"/>
      <c r="S44" s="2184"/>
      <c r="T44" s="7" t="s">
        <v>1410</v>
      </c>
      <c r="U44" s="727"/>
      <c r="V44" s="18"/>
      <c r="W44" s="18"/>
      <c r="X44" s="18"/>
      <c r="Y44" s="18"/>
      <c r="AB44" s="7" t="s">
        <v>1413</v>
      </c>
      <c r="AH44" s="53" t="s">
        <v>1413</v>
      </c>
      <c r="AI44" s="18"/>
      <c r="AJ44" s="18"/>
      <c r="AK44" s="18"/>
      <c r="AL44" s="725" t="s">
        <v>1412</v>
      </c>
      <c r="AM44" s="2184" t="s">
        <v>1411</v>
      </c>
      <c r="AN44" s="2184"/>
      <c r="AO44" s="2184"/>
      <c r="AP44" s="2184"/>
      <c r="AQ44" s="53" t="s">
        <v>1413</v>
      </c>
      <c r="AR44" s="18"/>
      <c r="AS44" s="18"/>
      <c r="AT44" s="18"/>
      <c r="AV44" s="725" t="s">
        <v>1412</v>
      </c>
      <c r="AW44" s="2184" t="s">
        <v>1411</v>
      </c>
      <c r="AX44" s="2184"/>
      <c r="AY44" s="2184"/>
      <c r="AZ44" s="2184"/>
      <c r="BA44" s="7" t="s">
        <v>1410</v>
      </c>
      <c r="BB44" s="727"/>
      <c r="BC44" s="18"/>
      <c r="BD44" s="18"/>
      <c r="BE44" s="18"/>
      <c r="BF44" s="18"/>
      <c r="BI44" s="7" t="s">
        <v>1413</v>
      </c>
      <c r="BP44" s="726" t="s">
        <v>1410</v>
      </c>
      <c r="BQ44" s="1797"/>
      <c r="BR44" s="1797"/>
      <c r="BS44" s="1797"/>
      <c r="BT44" s="1797"/>
      <c r="BU44" s="1797"/>
      <c r="BV44" s="1810"/>
      <c r="BW44" s="1810"/>
      <c r="BX44" s="1798"/>
      <c r="BY44" s="1811"/>
      <c r="BZ44" s="1812"/>
      <c r="CA44" s="1808" t="s">
        <v>1410</v>
      </c>
      <c r="CB44" s="1"/>
      <c r="CC44" s="1"/>
      <c r="CD44" s="1"/>
      <c r="CE44" s="1"/>
      <c r="CF44" s="1"/>
      <c r="CG44" s="1343"/>
      <c r="CH44" s="1343"/>
      <c r="CI44" s="65"/>
      <c r="CJ44" s="725"/>
      <c r="CK44" s="725"/>
    </row>
    <row r="45" spans="1:89">
      <c r="D45" s="719"/>
      <c r="AH45" s="724" t="s">
        <v>1409</v>
      </c>
      <c r="AM45" s="723" t="s">
        <v>1408</v>
      </c>
      <c r="AQ45" s="7" t="s">
        <v>1409</v>
      </c>
      <c r="BA45" s="7" t="s">
        <v>1409</v>
      </c>
      <c r="BI45" s="7" t="s">
        <v>1409</v>
      </c>
      <c r="BM45" s="723" t="s">
        <v>1408</v>
      </c>
      <c r="BP45" s="722" t="s">
        <v>1409</v>
      </c>
      <c r="BQ45" s="1799"/>
      <c r="BR45" s="1799"/>
      <c r="BS45" s="1797"/>
      <c r="BT45" s="1799"/>
      <c r="BU45" s="1799"/>
      <c r="BV45" s="1799"/>
      <c r="BW45" s="1796" t="s">
        <v>1408</v>
      </c>
      <c r="BX45" s="1799"/>
      <c r="BY45" s="1799"/>
      <c r="BZ45" s="720"/>
      <c r="CA45" s="1796" t="s">
        <v>1409</v>
      </c>
      <c r="CB45" s="1344"/>
      <c r="CC45" s="1344"/>
      <c r="CE45" s="1344"/>
      <c r="CF45" s="1344"/>
      <c r="CG45" s="1" t="s">
        <v>1408</v>
      </c>
      <c r="CI45" s="1344"/>
      <c r="CJ45" s="1344"/>
      <c r="CK45" s="1344"/>
    </row>
    <row r="46" spans="1:89" ht="46.5" customHeight="1" thickBot="1">
      <c r="D46" s="719"/>
      <c r="BP46" s="2181" t="s">
        <v>1407</v>
      </c>
      <c r="BQ46" s="2182"/>
      <c r="BR46" s="2182"/>
      <c r="BS46" s="2182"/>
      <c r="BT46" s="2182"/>
      <c r="BU46" s="2182"/>
      <c r="BV46" s="2182"/>
      <c r="BW46" s="2182"/>
      <c r="BX46" s="2182"/>
      <c r="BY46" s="2182"/>
      <c r="BZ46" s="2183"/>
      <c r="CA46" s="2182" t="s">
        <v>1407</v>
      </c>
      <c r="CB46" s="2182"/>
      <c r="CC46" s="2182"/>
      <c r="CD46" s="2182"/>
      <c r="CE46" s="2182"/>
      <c r="CF46" s="2182"/>
      <c r="CG46" s="2182"/>
      <c r="CH46" s="2182"/>
      <c r="CI46" s="2182"/>
      <c r="CJ46" s="2182"/>
      <c r="CK46" s="2182"/>
    </row>
    <row r="47" spans="1:89" ht="15.75" thickTop="1">
      <c r="D47" s="719"/>
      <c r="BP47" s="1796"/>
      <c r="BQ47" s="1797"/>
      <c r="BR47" s="1797"/>
      <c r="BS47" s="1797"/>
      <c r="BT47" s="1797"/>
      <c r="BU47" s="1797"/>
      <c r="BV47" s="1797"/>
      <c r="BW47" s="1797"/>
      <c r="BX47" s="1797"/>
      <c r="BY47" s="1797"/>
      <c r="BZ47" s="1797"/>
    </row>
    <row r="48" spans="1:89">
      <c r="D48" s="719"/>
      <c r="BP48" s="1797"/>
      <c r="BQ48" s="1797"/>
      <c r="BR48" s="1797"/>
      <c r="BS48" s="1797"/>
      <c r="BT48" s="1797"/>
      <c r="BU48" s="1797"/>
      <c r="BV48" s="1797"/>
      <c r="BW48" s="1797"/>
      <c r="BX48" s="1797"/>
      <c r="BY48" s="1797"/>
      <c r="BZ48" s="1797"/>
    </row>
    <row r="49" spans="68:78">
      <c r="BP49" s="2196"/>
      <c r="BQ49" s="2196"/>
      <c r="BR49" s="2196"/>
      <c r="BS49" s="2196"/>
      <c r="BT49" s="1797"/>
      <c r="BU49" s="1797"/>
      <c r="BV49" s="1797"/>
      <c r="BW49" s="1797"/>
      <c r="BX49" s="1797"/>
      <c r="BY49" s="1797"/>
      <c r="BZ49" s="1797"/>
    </row>
    <row r="50" spans="68:78">
      <c r="BP50" s="1797"/>
      <c r="BQ50" s="1797"/>
      <c r="BR50" s="1797"/>
      <c r="BS50" s="1797"/>
      <c r="BT50" s="1797"/>
      <c r="BU50" s="1797"/>
      <c r="BV50" s="1797"/>
      <c r="BW50" s="1797"/>
      <c r="BX50" s="1797"/>
      <c r="BY50" s="1797"/>
      <c r="BZ50" s="1797"/>
    </row>
    <row r="51" spans="68:78">
      <c r="BP51" s="1797"/>
      <c r="BQ51" s="1797"/>
      <c r="BR51" s="1797"/>
      <c r="BS51" s="1797"/>
      <c r="BT51" s="1797"/>
      <c r="BU51" s="1797"/>
      <c r="BV51" s="1797"/>
      <c r="BW51" s="1797"/>
      <c r="BX51" s="1797"/>
      <c r="BY51" s="1797"/>
      <c r="BZ51" s="1797"/>
    </row>
    <row r="52" spans="68:78">
      <c r="BP52" s="1798"/>
      <c r="BQ52" s="1799"/>
      <c r="BR52" s="1799"/>
      <c r="BS52" s="1799"/>
      <c r="BT52" s="1796"/>
      <c r="BU52" s="1799"/>
      <c r="BV52" s="1797"/>
      <c r="BW52" s="1797"/>
      <c r="BX52" s="1797"/>
      <c r="BY52" s="1797"/>
      <c r="BZ52" s="1797"/>
    </row>
    <row r="53" spans="68:78" ht="15.75">
      <c r="BP53" s="2194"/>
      <c r="BQ53" s="2194"/>
      <c r="BR53" s="2194"/>
      <c r="BS53" s="2194"/>
      <c r="BT53" s="2194"/>
      <c r="BU53" s="2194"/>
      <c r="BV53" s="1800"/>
      <c r="BW53" s="1797"/>
      <c r="BX53" s="1797"/>
      <c r="BY53" s="1797"/>
      <c r="BZ53" s="1797"/>
    </row>
    <row r="54" spans="68:78" ht="15.75">
      <c r="BP54" s="2195"/>
      <c r="BQ54" s="2195"/>
      <c r="BR54" s="2195"/>
      <c r="BS54" s="2195"/>
      <c r="BT54" s="2195"/>
      <c r="BU54" s="2195"/>
      <c r="BV54" s="1801"/>
      <c r="BW54" s="1797"/>
      <c r="BX54" s="1797"/>
      <c r="BY54" s="1797"/>
      <c r="BZ54" s="1797"/>
    </row>
    <row r="55" spans="68:78">
      <c r="BP55" s="1798"/>
      <c r="BQ55" s="1802"/>
      <c r="BR55" s="1798"/>
      <c r="BS55" s="1798"/>
      <c r="BT55" s="1795"/>
      <c r="BU55" s="1803"/>
      <c r="BV55" s="1804"/>
      <c r="BW55" s="1797"/>
      <c r="BX55" s="1797"/>
      <c r="BY55" s="1797"/>
      <c r="BZ55" s="1797"/>
    </row>
    <row r="56" spans="68:78">
      <c r="BP56" s="1797"/>
      <c r="BQ56" s="1797"/>
      <c r="BR56" s="1797"/>
      <c r="BS56" s="1797"/>
      <c r="BT56" s="1797"/>
      <c r="BU56" s="1797"/>
      <c r="BV56" s="1797"/>
      <c r="BW56" s="1797"/>
      <c r="BX56" s="1797"/>
      <c r="BY56" s="1797"/>
      <c r="BZ56" s="1797"/>
    </row>
    <row r="57" spans="68:78">
      <c r="BP57" s="1797"/>
      <c r="BQ57" s="1797"/>
      <c r="BR57" s="1797"/>
      <c r="BS57" s="1797"/>
      <c r="BT57" s="1797"/>
      <c r="BU57" s="1797"/>
      <c r="BV57" s="1797"/>
      <c r="BW57" s="1797"/>
      <c r="BX57" s="1797"/>
      <c r="BY57" s="1797"/>
      <c r="BZ57" s="1797"/>
    </row>
  </sheetData>
  <mergeCells count="103">
    <mergeCell ref="AH1:AP1"/>
    <mergeCell ref="AQ1:AZ1"/>
    <mergeCell ref="BA1:BH1"/>
    <mergeCell ref="BI1:BN1"/>
    <mergeCell ref="AH2:AP2"/>
    <mergeCell ref="AM4:AO4"/>
    <mergeCell ref="AP4:AP5"/>
    <mergeCell ref="AQ4:AQ5"/>
    <mergeCell ref="AR4:AR5"/>
    <mergeCell ref="BF4:BF5"/>
    <mergeCell ref="BG4:BG5"/>
    <mergeCell ref="BE4:BE5"/>
    <mergeCell ref="BJ4:BJ5"/>
    <mergeCell ref="BA4:BA5"/>
    <mergeCell ref="BH4:BH5"/>
    <mergeCell ref="BI4:BI5"/>
    <mergeCell ref="AQ2:AZ2"/>
    <mergeCell ref="BM3:BN3"/>
    <mergeCell ref="AW4:AY4"/>
    <mergeCell ref="AZ4:AZ5"/>
    <mergeCell ref="BN4:BN5"/>
    <mergeCell ref="AS4:AV4"/>
    <mergeCell ref="BC4:BC5"/>
    <mergeCell ref="BA2:BH2"/>
    <mergeCell ref="CG4:CG5"/>
    <mergeCell ref="CH4:CH5"/>
    <mergeCell ref="CI4:CI5"/>
    <mergeCell ref="AM44:AP44"/>
    <mergeCell ref="AW44:AZ44"/>
    <mergeCell ref="BK4:BK5"/>
    <mergeCell ref="BL4:BL5"/>
    <mergeCell ref="BM4:BM5"/>
    <mergeCell ref="CJ4:CJ5"/>
    <mergeCell ref="BD4:BD5"/>
    <mergeCell ref="BI2:BN2"/>
    <mergeCell ref="BV4:BY4"/>
    <mergeCell ref="CC4:CE4"/>
    <mergeCell ref="BZ4:BZ5"/>
    <mergeCell ref="BP2:BZ2"/>
    <mergeCell ref="CF4:CF5"/>
    <mergeCell ref="BP4:BP5"/>
    <mergeCell ref="BR4:BR5"/>
    <mergeCell ref="BS4:BU4"/>
    <mergeCell ref="BQ4:BQ5"/>
    <mergeCell ref="CA4:CA5"/>
    <mergeCell ref="CB4:CB5"/>
    <mergeCell ref="BP53:BU53"/>
    <mergeCell ref="BP54:BU54"/>
    <mergeCell ref="AH4:AH5"/>
    <mergeCell ref="AI4:AI5"/>
    <mergeCell ref="AJ4:AJ5"/>
    <mergeCell ref="AK4:AK5"/>
    <mergeCell ref="AL4:AL5"/>
    <mergeCell ref="BB4:BB5"/>
    <mergeCell ref="BF3:BH3"/>
    <mergeCell ref="BP49:BS49"/>
    <mergeCell ref="G3:I3"/>
    <mergeCell ref="Q3:S3"/>
    <mergeCell ref="AB1:AG1"/>
    <mergeCell ref="AB2:AG2"/>
    <mergeCell ref="T1:AA1"/>
    <mergeCell ref="T2:AA2"/>
    <mergeCell ref="AF3:AG3"/>
    <mergeCell ref="A1:I1"/>
    <mergeCell ref="A2:I2"/>
    <mergeCell ref="J1:S1"/>
    <mergeCell ref="J2:S2"/>
    <mergeCell ref="AC4:AC5"/>
    <mergeCell ref="L4:O4"/>
    <mergeCell ref="AE4:AE5"/>
    <mergeCell ref="AF4:AF5"/>
    <mergeCell ref="AG4:AG5"/>
    <mergeCell ref="A4:A5"/>
    <mergeCell ref="B4:B5"/>
    <mergeCell ref="C4:C5"/>
    <mergeCell ref="D4:D5"/>
    <mergeCell ref="E4:E5"/>
    <mergeCell ref="F4:H4"/>
    <mergeCell ref="S4:S5"/>
    <mergeCell ref="BP1:BZ1"/>
    <mergeCell ref="BS3:BV3"/>
    <mergeCell ref="CA1:CJ1"/>
    <mergeCell ref="CA2:CJ2"/>
    <mergeCell ref="CE3:CG3"/>
    <mergeCell ref="BP46:BZ46"/>
    <mergeCell ref="CA46:CK46"/>
    <mergeCell ref="F44:I44"/>
    <mergeCell ref="P44:S44"/>
    <mergeCell ref="I4:I5"/>
    <mergeCell ref="Y3:AA3"/>
    <mergeCell ref="Z4:Z5"/>
    <mergeCell ref="AA4:AA5"/>
    <mergeCell ref="P4:R4"/>
    <mergeCell ref="V4:V5"/>
    <mergeCell ref="W4:W5"/>
    <mergeCell ref="T4:T5"/>
    <mergeCell ref="U4:U5"/>
    <mergeCell ref="J4:J5"/>
    <mergeCell ref="K4:K5"/>
    <mergeCell ref="AD4:AD5"/>
    <mergeCell ref="X4:X5"/>
    <mergeCell ref="Y4:Y5"/>
    <mergeCell ref="AB4:AB5"/>
  </mergeCells>
  <conditionalFormatting sqref="CK4:XFD42 A4:BN42">
    <cfRule type="expression" dxfId="65" priority="8">
      <formula>MOD(ROW(),3)=1</formula>
    </cfRule>
  </conditionalFormatting>
  <conditionalFormatting sqref="BP7:CJ42">
    <cfRule type="expression" dxfId="64" priority="2">
      <formula>"mod(row()=3)=1"</formula>
    </cfRule>
  </conditionalFormatting>
  <conditionalFormatting sqref="BP6:CJ42">
    <cfRule type="expression" dxfId="63" priority="1">
      <formula>MOD(ROW(),3)=1</formula>
    </cfRule>
  </conditionalFormatting>
  <printOptions horizontalCentered="1"/>
  <pageMargins left="0.66929133858267698" right="0.15748031496063" top="0.55118110236220497" bottom="0.74803149606299202" header="0.31496062992126" footer="0.31496062992126"/>
  <pageSetup paperSize="9" scale="69" orientation="portrait" r:id="rId1"/>
  <colBreaks count="6" manualBreakCount="6">
    <brk id="9" max="1048575" man="1"/>
    <brk id="33" max="46" man="1"/>
    <brk id="42" max="46" man="1"/>
    <brk id="52" max="46" man="1"/>
    <brk id="60" max="46" man="1"/>
    <brk id="78" max="45" man="1"/>
  </colBreak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78ED73-DAA6-49BE-A4DC-7E920A453FE0}">
  <dimension ref="A1:AB36"/>
  <sheetViews>
    <sheetView view="pageBreakPreview" zoomScaleSheetLayoutView="100" workbookViewId="0">
      <selection activeCell="S17" sqref="S17"/>
    </sheetView>
  </sheetViews>
  <sheetFormatPr defaultColWidth="9.140625" defaultRowHeight="15"/>
  <cols>
    <col min="1" max="1" width="14.5703125" style="1" customWidth="1"/>
    <col min="2" max="2" width="13.85546875" style="1" customWidth="1"/>
    <col min="3" max="3" width="15.42578125" style="1" customWidth="1"/>
    <col min="4" max="4" width="18.140625" style="1" customWidth="1"/>
    <col min="5" max="5" width="14.42578125" style="1" customWidth="1"/>
    <col min="6" max="6" width="14" style="1" customWidth="1"/>
    <col min="7" max="7" width="18.7109375" style="1" customWidth="1"/>
    <col min="8" max="16384" width="9.140625" style="1"/>
  </cols>
  <sheetData>
    <row r="1" spans="1:28" s="47" customFormat="1" ht="27.95" customHeight="1" thickTop="1">
      <c r="A1" s="2220" t="s">
        <v>2763</v>
      </c>
      <c r="B1" s="1869"/>
      <c r="C1" s="1869"/>
      <c r="D1" s="1869"/>
      <c r="E1" s="1869"/>
      <c r="F1" s="1869"/>
      <c r="G1" s="1870"/>
    </row>
    <row r="2" spans="1:28" s="47" customFormat="1" ht="27.95" customHeight="1">
      <c r="A2" s="2224" t="s">
        <v>2764</v>
      </c>
      <c r="B2" s="2193"/>
      <c r="C2" s="2193"/>
      <c r="D2" s="2193"/>
      <c r="E2" s="2193"/>
      <c r="F2" s="2193"/>
      <c r="G2" s="2225"/>
    </row>
    <row r="3" spans="1:28" s="33" customFormat="1" ht="27.95" customHeight="1">
      <c r="A3" s="2221" t="s">
        <v>1482</v>
      </c>
      <c r="B3" s="2222"/>
      <c r="C3" s="2222"/>
      <c r="D3" s="2222"/>
      <c r="E3" s="2222"/>
      <c r="F3" s="2222"/>
      <c r="G3" s="2223"/>
      <c r="H3" s="787"/>
    </row>
    <row r="4" spans="1:28" s="784" customFormat="1" ht="79.5" customHeight="1">
      <c r="A4" s="1556" t="s">
        <v>1502</v>
      </c>
      <c r="B4" s="265" t="s">
        <v>1501</v>
      </c>
      <c r="C4" s="265" t="s">
        <v>1500</v>
      </c>
      <c r="D4" s="265" t="s">
        <v>1499</v>
      </c>
      <c r="E4" s="265" t="s">
        <v>1498</v>
      </c>
      <c r="F4" s="265" t="s">
        <v>1497</v>
      </c>
      <c r="G4" s="1557" t="s">
        <v>1496</v>
      </c>
      <c r="H4" s="786"/>
      <c r="AB4" s="785" t="s">
        <v>520</v>
      </c>
    </row>
    <row r="5" spans="1:28" s="7" customFormat="1" ht="24.75" customHeight="1">
      <c r="A5" s="783" t="s">
        <v>495</v>
      </c>
      <c r="B5" s="782">
        <v>118.746</v>
      </c>
      <c r="C5" s="782">
        <v>131.893</v>
      </c>
      <c r="D5" s="782">
        <v>13.147000000000006</v>
      </c>
      <c r="E5" s="782">
        <v>20.853000000000002</v>
      </c>
      <c r="F5" s="782">
        <v>22.562999999999999</v>
      </c>
      <c r="G5" s="781">
        <v>1.7099999999999973</v>
      </c>
    </row>
    <row r="6" spans="1:28" s="7" customFormat="1" ht="24.75" customHeight="1">
      <c r="A6" s="780" t="s">
        <v>494</v>
      </c>
      <c r="B6" s="777">
        <v>133.19900000000001</v>
      </c>
      <c r="C6" s="777">
        <v>152.77199999999999</v>
      </c>
      <c r="D6" s="777">
        <v>19.572999999999979</v>
      </c>
      <c r="E6" s="777">
        <v>24.661000000000001</v>
      </c>
      <c r="F6" s="777">
        <v>27.98</v>
      </c>
      <c r="G6" s="776">
        <v>3.3189999999999991</v>
      </c>
    </row>
    <row r="7" spans="1:28" s="7" customFormat="1" ht="24.75" customHeight="1">
      <c r="A7" s="780" t="s">
        <v>493</v>
      </c>
      <c r="B7" s="777">
        <v>140.863</v>
      </c>
      <c r="C7" s="777">
        <v>165.791</v>
      </c>
      <c r="D7" s="777">
        <v>24.927999999999997</v>
      </c>
      <c r="E7" s="777">
        <v>31.103000000000002</v>
      </c>
      <c r="F7" s="777">
        <v>38.195</v>
      </c>
      <c r="G7" s="776">
        <v>7.0919999999999987</v>
      </c>
    </row>
    <row r="8" spans="1:28" s="7" customFormat="1" ht="24.75" customHeight="1">
      <c r="A8" s="780" t="s">
        <v>492</v>
      </c>
      <c r="B8" s="777">
        <v>140.28800000000001</v>
      </c>
      <c r="C8" s="777">
        <v>172.63</v>
      </c>
      <c r="D8" s="777">
        <v>32.341999999999985</v>
      </c>
      <c r="E8" s="777">
        <v>38.72</v>
      </c>
      <c r="F8" s="777">
        <v>49.774999999999999</v>
      </c>
      <c r="G8" s="776">
        <v>11.055</v>
      </c>
    </row>
    <row r="9" spans="1:28" s="7" customFormat="1" ht="24.75" customHeight="1">
      <c r="A9" s="780" t="s">
        <v>491</v>
      </c>
      <c r="B9" s="777">
        <v>142.999</v>
      </c>
      <c r="C9" s="777">
        <v>185.74199999999999</v>
      </c>
      <c r="D9" s="777">
        <v>42.742999999999995</v>
      </c>
      <c r="E9" s="777">
        <v>48.023000000000003</v>
      </c>
      <c r="F9" s="777">
        <v>63.204000000000001</v>
      </c>
      <c r="G9" s="776">
        <v>15.180999999999997</v>
      </c>
    </row>
    <row r="10" spans="1:28" s="7" customFormat="1" ht="24.75" customHeight="1">
      <c r="A10" s="778" t="s">
        <v>932</v>
      </c>
      <c r="B10" s="777">
        <v>141.33556200000001</v>
      </c>
      <c r="C10" s="777">
        <v>185.34038100000001</v>
      </c>
      <c r="D10" s="779">
        <v>44.004818999999991</v>
      </c>
      <c r="E10" s="777">
        <v>55.204511770990457</v>
      </c>
      <c r="F10" s="777">
        <v>76.186810462810143</v>
      </c>
      <c r="G10" s="776">
        <v>20.982298691819683</v>
      </c>
    </row>
    <row r="11" spans="1:28" s="7" customFormat="1" ht="24.75" customHeight="1">
      <c r="A11" s="778" t="s">
        <v>931</v>
      </c>
      <c r="B11" s="777">
        <v>140.73388199999999</v>
      </c>
      <c r="C11" s="777">
        <v>188.01415599999996</v>
      </c>
      <c r="D11" s="779">
        <v>47.280273999999977</v>
      </c>
      <c r="E11" s="777">
        <v>56.935620069226502</v>
      </c>
      <c r="F11" s="777">
        <v>78.37069062718632</v>
      </c>
      <c r="G11" s="776">
        <v>21.435070557959822</v>
      </c>
    </row>
    <row r="12" spans="1:28" s="7" customFormat="1" ht="24.75" customHeight="1">
      <c r="A12" s="778" t="s">
        <v>1481</v>
      </c>
      <c r="B12" s="777">
        <v>131.94279299999997</v>
      </c>
      <c r="C12" s="777">
        <v>173.88935200000006</v>
      </c>
      <c r="D12" s="779">
        <v>41.946559000000093</v>
      </c>
      <c r="E12" s="777">
        <v>53.896566297590759</v>
      </c>
      <c r="F12" s="777">
        <v>73.055303567169574</v>
      </c>
      <c r="G12" s="776">
        <v>19.158737269578808</v>
      </c>
    </row>
    <row r="13" spans="1:28" s="7" customFormat="1" ht="24.75" customHeight="1">
      <c r="A13" s="778" t="s">
        <v>487</v>
      </c>
      <c r="B13" s="777">
        <v>140.70842399999998</v>
      </c>
      <c r="C13" s="777">
        <v>189.6611527180512</v>
      </c>
      <c r="D13" s="779">
        <v>48.952728718051219</v>
      </c>
      <c r="E13" s="777">
        <v>57.057399970633725</v>
      </c>
      <c r="F13" s="777">
        <v>78.042109837102984</v>
      </c>
      <c r="G13" s="776">
        <v>20.984709866469252</v>
      </c>
    </row>
    <row r="14" spans="1:28" s="7" customFormat="1" ht="24.75" customHeight="1">
      <c r="A14" s="778" t="s">
        <v>486</v>
      </c>
      <c r="B14" s="777">
        <v>140.64205599999997</v>
      </c>
      <c r="C14" s="777">
        <v>191.1030646268691</v>
      </c>
      <c r="D14" s="779">
        <v>50.461008626869123</v>
      </c>
      <c r="E14" s="777">
        <v>59.228829523882098</v>
      </c>
      <c r="F14" s="777">
        <v>81.078053068928284</v>
      </c>
      <c r="G14" s="776">
        <v>21.84922354504619</v>
      </c>
    </row>
    <row r="15" spans="1:28" s="7" customFormat="1" ht="24.75" customHeight="1">
      <c r="A15" s="778" t="s">
        <v>485</v>
      </c>
      <c r="B15" s="777">
        <v>141.16224399999999</v>
      </c>
      <c r="C15" s="777">
        <v>192.73681345454972</v>
      </c>
      <c r="D15" s="779">
        <v>51.574569454549753</v>
      </c>
      <c r="E15" s="777">
        <v>60.836797783649303</v>
      </c>
      <c r="F15" s="777">
        <v>84.278754086860673</v>
      </c>
      <c r="G15" s="776">
        <v>23.441956303211374</v>
      </c>
    </row>
    <row r="16" spans="1:28" s="7" customFormat="1" ht="24.75" customHeight="1">
      <c r="A16" s="778" t="s">
        <v>484</v>
      </c>
      <c r="B16" s="777">
        <v>139.82265600000002</v>
      </c>
      <c r="C16" s="777">
        <v>192.38111923927588</v>
      </c>
      <c r="D16" s="779">
        <v>52.558463239275852</v>
      </c>
      <c r="E16" s="777">
        <v>62.743438613225543</v>
      </c>
      <c r="F16" s="777">
        <v>86.751660930746311</v>
      </c>
      <c r="G16" s="776">
        <v>24.008222317520762</v>
      </c>
    </row>
    <row r="17" spans="1:7" s="7" customFormat="1" ht="24.75" customHeight="1">
      <c r="A17" s="778" t="s">
        <v>483</v>
      </c>
      <c r="B17" s="777">
        <v>141.01555599999998</v>
      </c>
      <c r="C17" s="777">
        <v>195.22286900000003</v>
      </c>
      <c r="D17" s="779">
        <v>54.207313000000056</v>
      </c>
      <c r="E17" s="777">
        <v>63.188583262999487</v>
      </c>
      <c r="F17" s="777">
        <v>88.057400487974633</v>
      </c>
      <c r="G17" s="776">
        <v>24.868817224975153</v>
      </c>
    </row>
    <row r="18" spans="1:7" s="7" customFormat="1" ht="24.75" customHeight="1">
      <c r="A18" s="778" t="s">
        <v>1495</v>
      </c>
      <c r="B18" s="777">
        <v>141.89890600000001</v>
      </c>
      <c r="C18" s="777">
        <v>195.32767999999999</v>
      </c>
      <c r="D18" s="779">
        <v>53.428773999999976</v>
      </c>
      <c r="E18" s="777">
        <v>63.637381935933092</v>
      </c>
      <c r="F18" s="777">
        <v>88.895145021499644</v>
      </c>
      <c r="G18" s="776">
        <v>25.257763085566548</v>
      </c>
    </row>
    <row r="19" spans="1:7" s="7" customFormat="1" ht="24.75" customHeight="1">
      <c r="A19" s="778" t="s">
        <v>1494</v>
      </c>
      <c r="B19" s="777">
        <v>139.17296199999998</v>
      </c>
      <c r="C19" s="777">
        <v>189.18819200000004</v>
      </c>
      <c r="D19" s="779">
        <v>50.015230000000066</v>
      </c>
      <c r="E19" s="777">
        <v>61.94455087370374</v>
      </c>
      <c r="F19" s="777">
        <v>85.086995983569793</v>
      </c>
      <c r="G19" s="776">
        <v>23.142445109866056</v>
      </c>
    </row>
    <row r="20" spans="1:7" s="7" customFormat="1" ht="24.75" customHeight="1">
      <c r="A20" s="778" t="s">
        <v>1493</v>
      </c>
      <c r="B20" s="777">
        <v>141.56296800000001</v>
      </c>
      <c r="C20" s="777">
        <v>197.68305699999996</v>
      </c>
      <c r="D20" s="779">
        <v>56.12008899999995</v>
      </c>
      <c r="E20" s="777">
        <v>63.665416792023628</v>
      </c>
      <c r="F20" s="777">
        <v>88.940185659945925</v>
      </c>
      <c r="G20" s="776">
        <v>25.274768867922297</v>
      </c>
    </row>
    <row r="21" spans="1:7" s="7" customFormat="1" ht="24.75" customHeight="1">
      <c r="A21" s="778" t="s">
        <v>1492</v>
      </c>
      <c r="B21" s="777">
        <v>140.97958399999999</v>
      </c>
      <c r="C21" s="777">
        <v>195.79572423927584</v>
      </c>
      <c r="D21" s="779">
        <v>54.816140239275846</v>
      </c>
      <c r="E21" s="777">
        <v>65.707156046684673</v>
      </c>
      <c r="F21" s="777">
        <v>91.7861632136878</v>
      </c>
      <c r="G21" s="776">
        <v>26.079007167003134</v>
      </c>
    </row>
    <row r="22" spans="1:7" s="7" customFormat="1" ht="24.75" customHeight="1">
      <c r="A22" s="778" t="s">
        <v>1491</v>
      </c>
      <c r="B22" s="777">
        <v>139.93378899999999</v>
      </c>
      <c r="C22" s="777">
        <v>194.21922623927586</v>
      </c>
      <c r="D22" s="779">
        <v>54.285437239275865</v>
      </c>
      <c r="E22" s="777">
        <v>66.286958242423694</v>
      </c>
      <c r="F22" s="777">
        <v>92.243637651061675</v>
      </c>
      <c r="G22" s="776">
        <v>25.956679408637982</v>
      </c>
    </row>
    <row r="23" spans="1:7" s="7" customFormat="1" ht="24.75" customHeight="1">
      <c r="A23" s="778" t="s">
        <v>1490</v>
      </c>
      <c r="B23" s="777">
        <v>141.42597199999997</v>
      </c>
      <c r="C23" s="777">
        <v>200.95135923927589</v>
      </c>
      <c r="D23" s="779">
        <v>59.525387239275908</v>
      </c>
      <c r="E23" s="777">
        <v>68.117074887611253</v>
      </c>
      <c r="F23" s="777">
        <v>95.759077645647849</v>
      </c>
      <c r="G23" s="776">
        <v>27.6420027580366</v>
      </c>
    </row>
    <row r="24" spans="1:7" s="7" customFormat="1" ht="24.75" customHeight="1">
      <c r="A24" s="778" t="s">
        <v>1489</v>
      </c>
      <c r="B24" s="777">
        <v>140.12844999999996</v>
      </c>
      <c r="C24" s="777">
        <v>198.37799823927591</v>
      </c>
      <c r="D24" s="779">
        <v>58.24954823927596</v>
      </c>
      <c r="E24" s="777">
        <v>68.383570609132349</v>
      </c>
      <c r="F24" s="777">
        <v>96.7543144821244</v>
      </c>
      <c r="G24" s="776">
        <v>28.370743872992055</v>
      </c>
    </row>
    <row r="25" spans="1:7" s="7" customFormat="1" ht="24.75" customHeight="1">
      <c r="A25" s="778" t="s">
        <v>1488</v>
      </c>
      <c r="B25" s="777">
        <v>139.506326</v>
      </c>
      <c r="C25" s="777">
        <v>197.05388857817289</v>
      </c>
      <c r="D25" s="779">
        <v>57.547562578172887</v>
      </c>
      <c r="E25" s="777">
        <v>67.300289312498961</v>
      </c>
      <c r="F25" s="777">
        <v>96.621550135026865</v>
      </c>
      <c r="G25" s="776">
        <v>29.321260822527897</v>
      </c>
    </row>
    <row r="26" spans="1:7" s="7" customFormat="1" ht="24.75" customHeight="1">
      <c r="A26" s="778" t="s">
        <v>1480</v>
      </c>
      <c r="B26" s="777">
        <v>139.41536300000001</v>
      </c>
      <c r="C26" s="777">
        <v>200.20330784494718</v>
      </c>
      <c r="D26" s="779">
        <v>60.78794484494717</v>
      </c>
      <c r="E26" s="777">
        <v>68.649050425543678</v>
      </c>
      <c r="F26" s="777">
        <v>98.147909915752948</v>
      </c>
      <c r="G26" s="776">
        <v>29.498859490209259</v>
      </c>
    </row>
    <row r="27" spans="1:7" s="7" customFormat="1" ht="24.75" customHeight="1">
      <c r="A27" s="778" t="s">
        <v>1487</v>
      </c>
      <c r="B27" s="777">
        <v>139.180397</v>
      </c>
      <c r="C27" s="777">
        <v>199.98847845494711</v>
      </c>
      <c r="D27" s="779">
        <v>60.808081454947128</v>
      </c>
      <c r="E27" s="777">
        <v>69.477687802541936</v>
      </c>
      <c r="F27" s="777">
        <v>100.08467166645592</v>
      </c>
      <c r="G27" s="776">
        <v>30.606983863913978</v>
      </c>
    </row>
    <row r="28" spans="1:7" s="7" customFormat="1" ht="24.75" customHeight="1">
      <c r="A28" s="778" t="s">
        <v>1479</v>
      </c>
      <c r="B28" s="777">
        <v>139.35112344999999</v>
      </c>
      <c r="C28" s="777">
        <v>197.32037815494715</v>
      </c>
      <c r="D28" s="777">
        <v>57.969254704947176</v>
      </c>
      <c r="E28" s="777">
        <v>71.55390925538201</v>
      </c>
      <c r="F28" s="777">
        <v>102.66726894731214</v>
      </c>
      <c r="G28" s="776">
        <v>31.113359691930135</v>
      </c>
    </row>
    <row r="29" spans="1:7" s="7" customFormat="1" ht="12" customHeight="1">
      <c r="A29" s="1136"/>
      <c r="B29" s="1346"/>
      <c r="C29" s="1346"/>
      <c r="D29" s="1346"/>
      <c r="E29" s="1346"/>
      <c r="F29" s="1346"/>
      <c r="G29" s="775"/>
    </row>
    <row r="30" spans="1:7" s="7" customFormat="1" ht="28.5" customHeight="1">
      <c r="A30" s="1347" t="s">
        <v>1486</v>
      </c>
      <c r="B30" s="774"/>
      <c r="C30" s="774"/>
      <c r="D30" s="774"/>
      <c r="E30" s="774"/>
      <c r="F30" s="774"/>
      <c r="G30" s="1348"/>
    </row>
    <row r="31" spans="1:7" s="774" customFormat="1" ht="18.75" customHeight="1">
      <c r="A31" s="2215" t="s">
        <v>1485</v>
      </c>
      <c r="B31" s="2184"/>
      <c r="C31" s="2184"/>
      <c r="D31" s="2184"/>
      <c r="E31" s="2184"/>
      <c r="F31" s="2184"/>
      <c r="G31" s="2216"/>
    </row>
    <row r="32" spans="1:7" s="774" customFormat="1" ht="17.25" customHeight="1">
      <c r="A32" s="2215" t="s">
        <v>1259</v>
      </c>
      <c r="B32" s="2184"/>
      <c r="C32" s="2184"/>
      <c r="D32" s="2184"/>
      <c r="E32" s="2184"/>
      <c r="F32" s="2184"/>
      <c r="G32" s="2216"/>
    </row>
    <row r="33" spans="1:7" s="7" customFormat="1" ht="48" customHeight="1">
      <c r="A33" s="2215" t="s">
        <v>1484</v>
      </c>
      <c r="B33" s="2184"/>
      <c r="C33" s="2184"/>
      <c r="D33" s="2184"/>
      <c r="E33" s="2184"/>
      <c r="F33" s="2184"/>
      <c r="G33" s="2216"/>
    </row>
    <row r="34" spans="1:7" s="7" customFormat="1" ht="47.25" customHeight="1" thickBot="1">
      <c r="A34" s="2217" t="s">
        <v>1483</v>
      </c>
      <c r="B34" s="2218"/>
      <c r="C34" s="2218"/>
      <c r="D34" s="2218"/>
      <c r="E34" s="2218"/>
      <c r="F34" s="2218"/>
      <c r="G34" s="2219"/>
    </row>
    <row r="35" spans="1:7" ht="15.75" thickTop="1">
      <c r="A35" s="773"/>
      <c r="B35" s="771"/>
      <c r="C35" s="771"/>
      <c r="D35" s="772"/>
      <c r="E35" s="771"/>
      <c r="F35" s="771"/>
      <c r="G35" s="771"/>
    </row>
    <row r="36" spans="1:7">
      <c r="A36" s="773"/>
      <c r="B36" s="771"/>
      <c r="C36" s="771"/>
      <c r="D36" s="772"/>
      <c r="E36" s="771"/>
      <c r="F36" s="771"/>
      <c r="G36" s="771"/>
    </row>
  </sheetData>
  <mergeCells count="7">
    <mergeCell ref="A33:G33"/>
    <mergeCell ref="A34:G34"/>
    <mergeCell ref="A1:G1"/>
    <mergeCell ref="A3:G3"/>
    <mergeCell ref="A32:G32"/>
    <mergeCell ref="A31:G31"/>
    <mergeCell ref="A2:G2"/>
  </mergeCells>
  <conditionalFormatting sqref="H4:XFD29">
    <cfRule type="expression" dxfId="62" priority="2">
      <formula>MOD(ROW(),3)=1</formula>
    </cfRule>
  </conditionalFormatting>
  <conditionalFormatting sqref="A5:G28">
    <cfRule type="expression" dxfId="61" priority="1">
      <formula>MOD(ROW(),3)=1</formula>
    </cfRule>
  </conditionalFormatting>
  <printOptions horizontalCentered="1"/>
  <pageMargins left="0.66929133858267698" right="0.15748031496063" top="0.21" bottom="0" header="0.19" footer="0.04"/>
  <pageSetup paperSize="9" scale="86" fitToWidth="0" fitToHeight="0" orientation="portrait" r:id="rId1"/>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7F670-E737-4A78-848A-09766BD2737E}">
  <dimension ref="A1:O92"/>
  <sheetViews>
    <sheetView view="pageBreakPreview" topLeftCell="A53" zoomScaleSheetLayoutView="100" workbookViewId="0">
      <selection activeCell="S17" sqref="S17"/>
    </sheetView>
  </sheetViews>
  <sheetFormatPr defaultColWidth="9.140625" defaultRowHeight="15"/>
  <cols>
    <col min="1" max="1" width="10.7109375" style="1" customWidth="1"/>
    <col min="2" max="8" width="10" style="1" customWidth="1"/>
    <col min="9" max="10" width="12" style="1" customWidth="1"/>
    <col min="11" max="11" width="17.5703125" style="1" customWidth="1"/>
    <col min="12" max="16384" width="9.140625" style="1"/>
  </cols>
  <sheetData>
    <row r="1" spans="1:15" ht="15.75" hidden="1" thickBot="1">
      <c r="A1" s="2226" t="s">
        <v>1472</v>
      </c>
      <c r="B1" s="2226"/>
      <c r="C1" s="2226"/>
      <c r="D1" s="2226"/>
      <c r="E1" s="2226"/>
      <c r="F1" s="2226"/>
      <c r="G1" s="2226"/>
      <c r="H1" s="2226"/>
      <c r="I1" s="2226"/>
      <c r="J1" s="2226"/>
      <c r="K1" s="2226"/>
    </row>
    <row r="2" spans="1:15" ht="15.75" hidden="1" thickBot="1">
      <c r="A2" s="2227" t="s">
        <v>1576</v>
      </c>
      <c r="B2" s="2227" t="s">
        <v>1575</v>
      </c>
      <c r="C2" s="2227"/>
      <c r="D2" s="2227"/>
      <c r="E2" s="2227"/>
      <c r="F2" s="2227"/>
      <c r="G2" s="2227"/>
      <c r="H2" s="2227"/>
      <c r="I2" s="2228" t="s">
        <v>1574</v>
      </c>
      <c r="J2" s="2228" t="s">
        <v>1478</v>
      </c>
      <c r="K2" s="2228" t="s">
        <v>1573</v>
      </c>
    </row>
    <row r="3" spans="1:15" ht="15" hidden="1" customHeight="1">
      <c r="A3" s="2227"/>
      <c r="B3" s="2227" t="s">
        <v>1572</v>
      </c>
      <c r="C3" s="2227"/>
      <c r="D3" s="2227"/>
      <c r="E3" s="2227" t="s">
        <v>1571</v>
      </c>
      <c r="F3" s="2228" t="s">
        <v>1570</v>
      </c>
      <c r="G3" s="2228" t="s">
        <v>1569</v>
      </c>
      <c r="H3" s="2228" t="s">
        <v>1568</v>
      </c>
      <c r="I3" s="2228"/>
      <c r="J3" s="2228"/>
      <c r="K3" s="2228"/>
    </row>
    <row r="4" spans="1:15" ht="15" hidden="1" customHeight="1">
      <c r="A4" s="2227"/>
      <c r="B4" s="798" t="s">
        <v>1567</v>
      </c>
      <c r="C4" s="797" t="s">
        <v>1566</v>
      </c>
      <c r="D4" s="797" t="s">
        <v>0</v>
      </c>
      <c r="E4" s="2227"/>
      <c r="F4" s="2228"/>
      <c r="G4" s="2228"/>
      <c r="H4" s="2228"/>
      <c r="I4" s="2228"/>
      <c r="J4" s="2228"/>
      <c r="K4" s="2228"/>
      <c r="O4" s="796" t="s">
        <v>520</v>
      </c>
    </row>
    <row r="5" spans="1:15" ht="15.75" hidden="1" thickBot="1">
      <c r="A5" s="795">
        <v>1</v>
      </c>
      <c r="B5" s="794">
        <v>2</v>
      </c>
      <c r="C5" s="794">
        <v>3</v>
      </c>
      <c r="D5" s="794">
        <v>4</v>
      </c>
      <c r="E5" s="795">
        <v>5</v>
      </c>
      <c r="F5" s="794">
        <v>6</v>
      </c>
      <c r="G5" s="794">
        <v>7</v>
      </c>
      <c r="H5" s="794">
        <v>8</v>
      </c>
      <c r="I5" s="795">
        <v>9</v>
      </c>
      <c r="J5" s="794">
        <v>10</v>
      </c>
      <c r="K5" s="794">
        <v>11</v>
      </c>
    </row>
    <row r="6" spans="1:15" ht="15.75" hidden="1" thickBot="1">
      <c r="A6" s="792" t="s">
        <v>1565</v>
      </c>
      <c r="B6" s="792">
        <v>7158</v>
      </c>
      <c r="C6" s="792">
        <v>1137</v>
      </c>
      <c r="D6" s="792">
        <v>8295</v>
      </c>
      <c r="E6" s="792">
        <v>3613</v>
      </c>
      <c r="F6" s="793" t="s">
        <v>1555</v>
      </c>
      <c r="G6" s="792">
        <v>5978</v>
      </c>
      <c r="H6" s="792">
        <v>2967</v>
      </c>
      <c r="I6" s="792">
        <v>20853</v>
      </c>
      <c r="J6" s="792">
        <v>22563</v>
      </c>
      <c r="K6" s="792">
        <v>1710</v>
      </c>
    </row>
    <row r="7" spans="1:15" ht="15.75" hidden="1" thickBot="1">
      <c r="A7" s="792" t="s">
        <v>1564</v>
      </c>
      <c r="B7" s="792">
        <v>7490</v>
      </c>
      <c r="C7" s="792">
        <v>1193</v>
      </c>
      <c r="D7" s="792">
        <v>8683</v>
      </c>
      <c r="E7" s="792">
        <v>3489</v>
      </c>
      <c r="F7" s="793" t="s">
        <v>1555</v>
      </c>
      <c r="G7" s="792">
        <v>6517</v>
      </c>
      <c r="H7" s="792">
        <v>2360</v>
      </c>
      <c r="I7" s="792">
        <v>21049</v>
      </c>
      <c r="J7" s="792">
        <v>23180</v>
      </c>
      <c r="K7" s="792">
        <v>2131</v>
      </c>
    </row>
    <row r="8" spans="1:15" ht="15.75" hidden="1" thickBot="1">
      <c r="A8" s="792" t="s">
        <v>1563</v>
      </c>
      <c r="B8" s="792">
        <v>7511</v>
      </c>
      <c r="C8" s="792">
        <v>1350</v>
      </c>
      <c r="D8" s="792">
        <v>8861</v>
      </c>
      <c r="E8" s="792">
        <v>3303</v>
      </c>
      <c r="F8" s="793" t="s">
        <v>1555</v>
      </c>
      <c r="G8" s="792">
        <v>6521</v>
      </c>
      <c r="H8" s="792">
        <v>2437</v>
      </c>
      <c r="I8" s="792">
        <v>21122</v>
      </c>
      <c r="J8" s="792">
        <v>23305</v>
      </c>
      <c r="K8" s="792">
        <v>2183</v>
      </c>
    </row>
    <row r="9" spans="1:15" ht="15.75" hidden="1" thickBot="1">
      <c r="A9" s="792" t="s">
        <v>1562</v>
      </c>
      <c r="B9" s="792">
        <v>7545</v>
      </c>
      <c r="C9" s="792">
        <v>1314</v>
      </c>
      <c r="D9" s="792">
        <v>8859</v>
      </c>
      <c r="E9" s="792">
        <v>4228</v>
      </c>
      <c r="F9" s="793" t="s">
        <v>1555</v>
      </c>
      <c r="G9" s="792">
        <v>6685</v>
      </c>
      <c r="H9" s="792">
        <v>2097</v>
      </c>
      <c r="I9" s="792">
        <v>21869</v>
      </c>
      <c r="J9" s="792">
        <v>24363</v>
      </c>
      <c r="K9" s="792">
        <v>2494</v>
      </c>
    </row>
    <row r="10" spans="1:15" ht="15.75" hidden="1" thickBot="1">
      <c r="A10" s="792" t="s">
        <v>1561</v>
      </c>
      <c r="B10" s="792">
        <v>7832</v>
      </c>
      <c r="C10" s="792">
        <v>1235</v>
      </c>
      <c r="D10" s="792">
        <v>9067</v>
      </c>
      <c r="E10" s="792">
        <v>4025</v>
      </c>
      <c r="F10" s="793" t="s">
        <v>1555</v>
      </c>
      <c r="G10" s="792">
        <v>6726</v>
      </c>
      <c r="H10" s="792">
        <v>2270</v>
      </c>
      <c r="I10" s="792">
        <v>22088</v>
      </c>
      <c r="J10" s="792">
        <v>24948</v>
      </c>
      <c r="K10" s="792">
        <v>2860</v>
      </c>
    </row>
    <row r="11" spans="1:15" ht="15.75" hidden="1" thickBot="1">
      <c r="A11" s="792" t="s">
        <v>1560</v>
      </c>
      <c r="B11" s="792">
        <v>8025</v>
      </c>
      <c r="C11" s="792">
        <v>1360</v>
      </c>
      <c r="D11" s="792">
        <v>9385</v>
      </c>
      <c r="E11" s="792">
        <v>4423</v>
      </c>
      <c r="F11" s="793" t="s">
        <v>1555</v>
      </c>
      <c r="G11" s="792">
        <v>6739</v>
      </c>
      <c r="H11" s="792">
        <v>2211</v>
      </c>
      <c r="I11" s="792">
        <v>22758</v>
      </c>
      <c r="J11" s="792">
        <v>25642</v>
      </c>
      <c r="K11" s="792">
        <v>2884</v>
      </c>
    </row>
    <row r="12" spans="1:15" ht="15.75" hidden="1" thickBot="1">
      <c r="A12" s="792" t="s">
        <v>1559</v>
      </c>
      <c r="B12" s="792">
        <v>7916</v>
      </c>
      <c r="C12" s="792">
        <v>1357</v>
      </c>
      <c r="D12" s="792">
        <v>9273</v>
      </c>
      <c r="E12" s="792">
        <v>4492</v>
      </c>
      <c r="F12" s="793" t="s">
        <v>1555</v>
      </c>
      <c r="G12" s="792">
        <v>6566</v>
      </c>
      <c r="H12" s="792">
        <v>2202</v>
      </c>
      <c r="I12" s="792">
        <v>22533</v>
      </c>
      <c r="J12" s="792">
        <v>25707</v>
      </c>
      <c r="K12" s="792">
        <v>3174</v>
      </c>
    </row>
    <row r="13" spans="1:15" ht="15.75" hidden="1" thickBot="1">
      <c r="A13" s="792" t="s">
        <v>1558</v>
      </c>
      <c r="B13" s="792">
        <v>8303</v>
      </c>
      <c r="C13" s="792">
        <v>1349</v>
      </c>
      <c r="D13" s="792">
        <v>9652</v>
      </c>
      <c r="E13" s="792">
        <v>4536</v>
      </c>
      <c r="F13" s="793" t="s">
        <v>1555</v>
      </c>
      <c r="G13" s="792">
        <v>6818</v>
      </c>
      <c r="H13" s="792">
        <v>2150</v>
      </c>
      <c r="I13" s="792">
        <v>23156</v>
      </c>
      <c r="J13" s="792">
        <v>26628</v>
      </c>
      <c r="K13" s="792">
        <v>2472</v>
      </c>
    </row>
    <row r="14" spans="1:15" ht="15.75" hidden="1" thickBot="1">
      <c r="A14" s="792" t="s">
        <v>1557</v>
      </c>
      <c r="B14" s="792">
        <v>8391</v>
      </c>
      <c r="C14" s="792">
        <v>1279</v>
      </c>
      <c r="D14" s="792">
        <v>9670</v>
      </c>
      <c r="E14" s="792">
        <v>4759</v>
      </c>
      <c r="F14" s="793" t="s">
        <v>1555</v>
      </c>
      <c r="G14" s="792">
        <v>6686</v>
      </c>
      <c r="H14" s="792">
        <v>2286</v>
      </c>
      <c r="I14" s="792">
        <v>23401</v>
      </c>
      <c r="J14" s="792">
        <v>26948</v>
      </c>
      <c r="K14" s="792">
        <v>3547</v>
      </c>
    </row>
    <row r="15" spans="1:15" ht="15.75" hidden="1" thickBot="1">
      <c r="A15" s="792" t="s">
        <v>1556</v>
      </c>
      <c r="B15" s="792">
        <v>8809</v>
      </c>
      <c r="C15" s="792">
        <v>1305</v>
      </c>
      <c r="D15" s="792">
        <v>10114</v>
      </c>
      <c r="E15" s="792">
        <v>4631</v>
      </c>
      <c r="F15" s="793" t="s">
        <v>1555</v>
      </c>
      <c r="G15" s="792">
        <v>7083</v>
      </c>
      <c r="H15" s="792">
        <v>2209</v>
      </c>
      <c r="I15" s="792">
        <v>24037</v>
      </c>
      <c r="J15" s="792">
        <v>27454</v>
      </c>
      <c r="K15" s="792">
        <v>3417</v>
      </c>
    </row>
    <row r="16" spans="1:15" ht="15.75" hidden="1" thickBot="1">
      <c r="A16" s="792" t="s">
        <v>494</v>
      </c>
      <c r="B16" s="792">
        <v>9170</v>
      </c>
      <c r="C16" s="792">
        <v>1200</v>
      </c>
      <c r="D16" s="792">
        <v>10370</v>
      </c>
      <c r="E16" s="792">
        <v>4561</v>
      </c>
      <c r="F16" s="792">
        <v>135</v>
      </c>
      <c r="G16" s="792">
        <v>7155</v>
      </c>
      <c r="H16" s="792">
        <v>2240</v>
      </c>
      <c r="I16" s="792">
        <v>24461</v>
      </c>
      <c r="J16" s="792">
        <v>27980</v>
      </c>
      <c r="K16" s="792">
        <v>3519</v>
      </c>
    </row>
    <row r="17" spans="1:11" ht="15.75" hidden="1" thickBot="1">
      <c r="A17" s="792" t="s">
        <v>1554</v>
      </c>
      <c r="B17" s="792">
        <v>9339</v>
      </c>
      <c r="C17" s="792">
        <v>1163</v>
      </c>
      <c r="D17" s="792">
        <v>10502</v>
      </c>
      <c r="E17" s="792">
        <v>4612</v>
      </c>
      <c r="F17" s="792">
        <v>258</v>
      </c>
      <c r="G17" s="792">
        <v>7094</v>
      </c>
      <c r="H17" s="792">
        <v>2418</v>
      </c>
      <c r="I17" s="792">
        <v>24884</v>
      </c>
      <c r="J17" s="792">
        <v>28460</v>
      </c>
      <c r="K17" s="792">
        <v>3576</v>
      </c>
    </row>
    <row r="18" spans="1:11" ht="15.75" hidden="1" thickBot="1">
      <c r="A18" s="792" t="s">
        <v>1553</v>
      </c>
      <c r="B18" s="792">
        <v>9686</v>
      </c>
      <c r="C18" s="792">
        <v>1146</v>
      </c>
      <c r="D18" s="792">
        <v>10832</v>
      </c>
      <c r="E18" s="792">
        <v>4781</v>
      </c>
      <c r="F18" s="792">
        <v>901</v>
      </c>
      <c r="G18" s="792">
        <v>6748</v>
      </c>
      <c r="H18" s="792">
        <v>2403</v>
      </c>
      <c r="I18" s="792">
        <v>25665</v>
      </c>
      <c r="J18" s="792">
        <v>29453</v>
      </c>
      <c r="K18" s="792">
        <v>3788</v>
      </c>
    </row>
    <row r="19" spans="1:11" ht="15.75" hidden="1" thickBot="1">
      <c r="A19" s="792" t="s">
        <v>1552</v>
      </c>
      <c r="B19" s="792">
        <v>9862</v>
      </c>
      <c r="C19" s="792">
        <v>1160</v>
      </c>
      <c r="D19" s="792">
        <v>11022</v>
      </c>
      <c r="E19" s="792">
        <v>4599</v>
      </c>
      <c r="F19" s="792">
        <v>1028</v>
      </c>
      <c r="G19" s="792">
        <v>6756</v>
      </c>
      <c r="H19" s="792">
        <v>2483</v>
      </c>
      <c r="I19" s="792">
        <v>25888</v>
      </c>
      <c r="J19" s="792">
        <v>29707</v>
      </c>
      <c r="K19" s="792">
        <v>3819</v>
      </c>
    </row>
    <row r="20" spans="1:11" ht="15.75" hidden="1" thickBot="1">
      <c r="A20" s="792" t="s">
        <v>1551</v>
      </c>
      <c r="B20" s="792">
        <v>10080</v>
      </c>
      <c r="C20" s="792">
        <v>1143</v>
      </c>
      <c r="D20" s="792">
        <v>11223</v>
      </c>
      <c r="E20" s="792">
        <v>4780</v>
      </c>
      <c r="F20" s="792">
        <v>1087</v>
      </c>
      <c r="G20" s="792">
        <v>6988</v>
      </c>
      <c r="H20" s="792">
        <v>2522</v>
      </c>
      <c r="I20" s="792">
        <v>26600</v>
      </c>
      <c r="J20" s="792">
        <v>30705</v>
      </c>
      <c r="K20" s="792">
        <v>4105</v>
      </c>
    </row>
    <row r="21" spans="1:11" ht="15.75" hidden="1" thickBot="1">
      <c r="A21" s="792" t="s">
        <v>1550</v>
      </c>
      <c r="B21" s="792">
        <v>9859</v>
      </c>
      <c r="C21" s="792">
        <v>1099</v>
      </c>
      <c r="D21" s="792">
        <v>10958</v>
      </c>
      <c r="E21" s="792">
        <v>4258</v>
      </c>
      <c r="F21" s="792">
        <v>1293</v>
      </c>
      <c r="G21" s="792">
        <v>7360</v>
      </c>
      <c r="H21" s="792">
        <v>2475</v>
      </c>
      <c r="I21" s="792">
        <v>26344</v>
      </c>
      <c r="J21" s="792">
        <v>30901</v>
      </c>
      <c r="K21" s="792">
        <v>4557</v>
      </c>
    </row>
    <row r="22" spans="1:11" ht="15.75" hidden="1" thickBot="1">
      <c r="A22" s="792" t="s">
        <v>1549</v>
      </c>
      <c r="B22" s="792">
        <v>10221</v>
      </c>
      <c r="C22" s="792">
        <v>1026</v>
      </c>
      <c r="D22" s="792">
        <v>11247</v>
      </c>
      <c r="E22" s="792">
        <v>4424</v>
      </c>
      <c r="F22" s="792">
        <v>1706</v>
      </c>
      <c r="G22" s="792">
        <v>7489</v>
      </c>
      <c r="H22" s="792">
        <v>2041</v>
      </c>
      <c r="I22" s="792">
        <v>26907</v>
      </c>
      <c r="J22" s="792">
        <v>32683</v>
      </c>
      <c r="K22" s="792">
        <v>5776</v>
      </c>
    </row>
    <row r="23" spans="1:11" ht="15.75" hidden="1" thickBot="1">
      <c r="A23" s="792" t="s">
        <v>1548</v>
      </c>
      <c r="B23" s="792">
        <v>20295</v>
      </c>
      <c r="C23" s="792">
        <v>948</v>
      </c>
      <c r="D23" s="792">
        <v>21243</v>
      </c>
      <c r="E23" s="792">
        <v>4493</v>
      </c>
      <c r="F23" s="792">
        <v>2112</v>
      </c>
      <c r="G23" s="792">
        <v>6999</v>
      </c>
      <c r="H23" s="792">
        <v>2346</v>
      </c>
      <c r="I23" s="792">
        <v>37193</v>
      </c>
      <c r="J23" s="792">
        <v>33207</v>
      </c>
      <c r="K23" s="792">
        <v>-3986</v>
      </c>
    </row>
    <row r="24" spans="1:11" ht="15.75" hidden="1" thickBot="1">
      <c r="A24" s="792" t="s">
        <v>1547</v>
      </c>
      <c r="B24" s="792">
        <v>10985</v>
      </c>
      <c r="C24" s="792">
        <v>907</v>
      </c>
      <c r="D24" s="792">
        <v>11892</v>
      </c>
      <c r="E24" s="792">
        <v>3926</v>
      </c>
      <c r="F24" s="792">
        <v>3087</v>
      </c>
      <c r="G24" s="792">
        <v>7714</v>
      </c>
      <c r="H24" s="792">
        <v>2390</v>
      </c>
      <c r="I24" s="792">
        <v>29009</v>
      </c>
      <c r="J24" s="792">
        <v>35483</v>
      </c>
      <c r="K24" s="792">
        <v>6474</v>
      </c>
    </row>
    <row r="25" spans="1:11" ht="15.75" hidden="1" thickBot="1">
      <c r="A25" s="792" t="s">
        <v>1546</v>
      </c>
      <c r="B25" s="792">
        <v>11724</v>
      </c>
      <c r="C25" s="792">
        <v>881</v>
      </c>
      <c r="D25" s="792">
        <v>12605</v>
      </c>
      <c r="E25" s="792">
        <v>4059</v>
      </c>
      <c r="F25" s="792">
        <v>3739</v>
      </c>
      <c r="G25" s="792">
        <v>7438</v>
      </c>
      <c r="H25" s="792">
        <v>2356</v>
      </c>
      <c r="I25" s="792">
        <v>30197</v>
      </c>
      <c r="J25" s="792">
        <v>36974</v>
      </c>
      <c r="K25" s="792">
        <v>6777</v>
      </c>
    </row>
    <row r="26" spans="1:11" ht="15.75" hidden="1" thickBot="1">
      <c r="A26" s="792" t="s">
        <v>1545</v>
      </c>
      <c r="B26" s="792">
        <v>11972</v>
      </c>
      <c r="C26" s="792">
        <v>866</v>
      </c>
      <c r="D26" s="792">
        <v>12838</v>
      </c>
      <c r="E26" s="792">
        <v>4112</v>
      </c>
      <c r="F26" s="792">
        <v>4461</v>
      </c>
      <c r="G26" s="792">
        <v>7426</v>
      </c>
      <c r="H26" s="792">
        <v>2266</v>
      </c>
      <c r="I26" s="792">
        <v>31103</v>
      </c>
      <c r="J26" s="792">
        <v>38195</v>
      </c>
      <c r="K26" s="792">
        <v>7092</v>
      </c>
    </row>
    <row r="27" spans="1:11" ht="15.75" hidden="1" thickBot="1">
      <c r="A27" s="792" t="s">
        <v>1284</v>
      </c>
      <c r="B27" s="792">
        <v>12246</v>
      </c>
      <c r="C27" s="792">
        <v>869</v>
      </c>
      <c r="D27" s="792">
        <v>13115</v>
      </c>
      <c r="E27" s="792">
        <v>3734</v>
      </c>
      <c r="F27" s="792">
        <v>4745</v>
      </c>
      <c r="G27" s="792">
        <v>7535</v>
      </c>
      <c r="H27" s="792">
        <v>2417</v>
      </c>
      <c r="I27" s="792">
        <v>31546</v>
      </c>
      <c r="J27" s="792">
        <v>38430</v>
      </c>
      <c r="K27" s="792">
        <v>6884</v>
      </c>
    </row>
    <row r="28" spans="1:11" ht="15.75" hidden="1" thickBot="1">
      <c r="A28" s="792" t="s">
        <v>1283</v>
      </c>
      <c r="B28" s="792">
        <v>12134</v>
      </c>
      <c r="C28" s="792">
        <v>862</v>
      </c>
      <c r="D28" s="792">
        <v>12996</v>
      </c>
      <c r="E28" s="792">
        <v>3619</v>
      </c>
      <c r="F28" s="792">
        <v>5393</v>
      </c>
      <c r="G28" s="792">
        <v>7571</v>
      </c>
      <c r="H28" s="792">
        <v>2255</v>
      </c>
      <c r="I28" s="792">
        <v>31834</v>
      </c>
      <c r="J28" s="792">
        <v>39055</v>
      </c>
      <c r="K28" s="792">
        <v>7221</v>
      </c>
    </row>
    <row r="29" spans="1:11" ht="15.75" hidden="1" thickBot="1">
      <c r="A29" s="792" t="s">
        <v>1544</v>
      </c>
      <c r="B29" s="792">
        <v>12196</v>
      </c>
      <c r="C29" s="792">
        <v>869</v>
      </c>
      <c r="D29" s="792">
        <v>13065</v>
      </c>
      <c r="E29" s="792">
        <v>3900</v>
      </c>
      <c r="F29" s="792">
        <v>5604</v>
      </c>
      <c r="G29" s="792">
        <v>7679</v>
      </c>
      <c r="H29" s="792">
        <v>2298</v>
      </c>
      <c r="I29" s="792">
        <v>32546</v>
      </c>
      <c r="J29" s="792">
        <v>40283</v>
      </c>
      <c r="K29" s="792">
        <v>7737</v>
      </c>
    </row>
    <row r="30" spans="1:11" ht="15.75" hidden="1" thickBot="1">
      <c r="A30" s="792" t="s">
        <v>1282</v>
      </c>
      <c r="B30" s="792">
        <v>12657</v>
      </c>
      <c r="C30" s="792">
        <v>857</v>
      </c>
      <c r="D30" s="792">
        <v>13514</v>
      </c>
      <c r="E30" s="792">
        <v>3544</v>
      </c>
      <c r="F30" s="792">
        <v>6583</v>
      </c>
      <c r="G30" s="792">
        <v>7646</v>
      </c>
      <c r="H30" s="792">
        <v>2422</v>
      </c>
      <c r="I30" s="792">
        <v>33709</v>
      </c>
      <c r="J30" s="792">
        <v>41741</v>
      </c>
      <c r="K30" s="792">
        <v>8032</v>
      </c>
    </row>
    <row r="31" spans="1:11" ht="15.75" hidden="1" thickBot="1">
      <c r="A31" s="792" t="s">
        <v>1281</v>
      </c>
      <c r="B31" s="792">
        <v>12933</v>
      </c>
      <c r="C31" s="792">
        <v>858</v>
      </c>
      <c r="D31" s="792">
        <v>13791</v>
      </c>
      <c r="E31" s="792">
        <v>3972</v>
      </c>
      <c r="F31" s="792">
        <v>6843</v>
      </c>
      <c r="G31" s="792">
        <v>7601</v>
      </c>
      <c r="H31" s="792">
        <v>2386</v>
      </c>
      <c r="I31" s="792">
        <v>34593</v>
      </c>
      <c r="J31" s="792">
        <v>43363</v>
      </c>
      <c r="K31" s="792">
        <v>8770</v>
      </c>
    </row>
    <row r="32" spans="1:11" ht="15.75" hidden="1" thickBot="1">
      <c r="A32" s="792" t="s">
        <v>1280</v>
      </c>
      <c r="B32" s="792">
        <v>13016</v>
      </c>
      <c r="C32" s="792">
        <v>845</v>
      </c>
      <c r="D32" s="792">
        <v>13861</v>
      </c>
      <c r="E32" s="792">
        <v>3901</v>
      </c>
      <c r="F32" s="792">
        <v>7432</v>
      </c>
      <c r="G32" s="792">
        <v>7655</v>
      </c>
      <c r="H32" s="792">
        <v>2300</v>
      </c>
      <c r="I32" s="792">
        <v>35149</v>
      </c>
      <c r="J32" s="792">
        <v>43552</v>
      </c>
      <c r="K32" s="792">
        <v>8403</v>
      </c>
    </row>
    <row r="33" spans="1:11" ht="15.75" hidden="1" thickBot="1">
      <c r="A33" s="792" t="s">
        <v>1279</v>
      </c>
      <c r="B33" s="792">
        <v>13734</v>
      </c>
      <c r="C33" s="792">
        <v>842</v>
      </c>
      <c r="D33" s="792">
        <v>14576</v>
      </c>
      <c r="E33" s="792">
        <v>3904</v>
      </c>
      <c r="F33" s="792">
        <v>7641</v>
      </c>
      <c r="G33" s="792">
        <v>7943</v>
      </c>
      <c r="H33" s="792">
        <v>2482</v>
      </c>
      <c r="I33" s="792">
        <v>36546</v>
      </c>
      <c r="J33" s="792">
        <v>46080</v>
      </c>
      <c r="K33" s="792">
        <v>9534</v>
      </c>
    </row>
    <row r="34" spans="1:11" ht="15.75" hidden="1" thickBot="1">
      <c r="A34" s="792" t="s">
        <v>1543</v>
      </c>
      <c r="B34" s="792">
        <v>14304</v>
      </c>
      <c r="C34" s="792">
        <v>845</v>
      </c>
      <c r="D34" s="792">
        <v>15149</v>
      </c>
      <c r="E34" s="792">
        <v>3937</v>
      </c>
      <c r="F34" s="792">
        <v>8159</v>
      </c>
      <c r="G34" s="792">
        <v>8270</v>
      </c>
      <c r="H34" s="792">
        <v>2544</v>
      </c>
      <c r="I34" s="792">
        <v>38059</v>
      </c>
      <c r="J34" s="792">
        <v>48307</v>
      </c>
      <c r="K34" s="792">
        <v>10248</v>
      </c>
    </row>
    <row r="35" spans="1:11" ht="15.75" hidden="1" thickBot="1">
      <c r="A35" s="792" t="s">
        <v>1243</v>
      </c>
      <c r="B35" s="792">
        <v>13931</v>
      </c>
      <c r="C35" s="792">
        <v>843</v>
      </c>
      <c r="D35" s="792">
        <v>14774</v>
      </c>
      <c r="E35" s="792">
        <v>3481</v>
      </c>
      <c r="F35" s="792">
        <v>9307</v>
      </c>
      <c r="G35" s="792">
        <v>8557</v>
      </c>
      <c r="H35" s="792">
        <v>2405</v>
      </c>
      <c r="I35" s="792">
        <v>38524</v>
      </c>
      <c r="J35" s="792">
        <v>49214</v>
      </c>
      <c r="K35" s="792">
        <v>10690</v>
      </c>
    </row>
    <row r="36" spans="1:11" ht="15.75" hidden="1" thickBot="1">
      <c r="A36" s="792" t="s">
        <v>1542</v>
      </c>
      <c r="B36" s="792">
        <v>14450</v>
      </c>
      <c r="C36" s="792">
        <v>842</v>
      </c>
      <c r="D36" s="792">
        <v>15292</v>
      </c>
      <c r="E36" s="792">
        <v>3182</v>
      </c>
      <c r="F36" s="792">
        <v>9531</v>
      </c>
      <c r="G36" s="792">
        <v>8164</v>
      </c>
      <c r="H36" s="792">
        <v>2551</v>
      </c>
      <c r="I36" s="792">
        <v>38720</v>
      </c>
      <c r="J36" s="792">
        <v>49775</v>
      </c>
      <c r="K36" s="792">
        <v>11055</v>
      </c>
    </row>
    <row r="37" spans="1:11" ht="15.75" hidden="1" thickBot="1">
      <c r="A37" s="792" t="s">
        <v>1541</v>
      </c>
      <c r="B37" s="792">
        <v>15456</v>
      </c>
      <c r="C37" s="792">
        <v>490</v>
      </c>
      <c r="D37" s="792">
        <v>15946</v>
      </c>
      <c r="E37" s="792">
        <v>3376</v>
      </c>
      <c r="F37" s="792">
        <v>10334</v>
      </c>
      <c r="G37" s="792">
        <v>8403</v>
      </c>
      <c r="H37" s="792">
        <v>2444</v>
      </c>
      <c r="I37" s="792">
        <v>40503</v>
      </c>
      <c r="J37" s="792">
        <v>51412</v>
      </c>
      <c r="K37" s="792">
        <v>10909</v>
      </c>
    </row>
    <row r="38" spans="1:11" ht="15.75" hidden="1" thickBot="1">
      <c r="A38" s="792" t="s">
        <v>1277</v>
      </c>
      <c r="B38" s="792">
        <v>15716</v>
      </c>
      <c r="C38" s="792">
        <v>469</v>
      </c>
      <c r="D38" s="792">
        <v>16185</v>
      </c>
      <c r="E38" s="792">
        <v>2936</v>
      </c>
      <c r="F38" s="792">
        <v>10770</v>
      </c>
      <c r="G38" s="792">
        <v>8577</v>
      </c>
      <c r="H38" s="792">
        <v>2223</v>
      </c>
      <c r="I38" s="792">
        <v>40691</v>
      </c>
      <c r="J38" s="792">
        <v>51830</v>
      </c>
      <c r="K38" s="792">
        <v>11139</v>
      </c>
    </row>
    <row r="39" spans="1:11" ht="15.75" hidden="1" thickBot="1">
      <c r="A39" s="792" t="s">
        <v>1276</v>
      </c>
      <c r="B39" s="792">
        <v>16294</v>
      </c>
      <c r="C39" s="792">
        <v>470</v>
      </c>
      <c r="D39" s="792">
        <v>16764</v>
      </c>
      <c r="E39" s="792">
        <v>3533</v>
      </c>
      <c r="F39" s="792">
        <v>10922</v>
      </c>
      <c r="G39" s="792">
        <v>8470</v>
      </c>
      <c r="H39" s="792">
        <v>2260</v>
      </c>
      <c r="I39" s="792">
        <v>41949</v>
      </c>
      <c r="J39" s="792">
        <v>53824</v>
      </c>
      <c r="K39" s="792">
        <v>11875</v>
      </c>
    </row>
    <row r="40" spans="1:11" ht="15.75" hidden="1" thickBot="1">
      <c r="A40" s="792" t="s">
        <v>1242</v>
      </c>
      <c r="B40" s="792">
        <v>15805</v>
      </c>
      <c r="C40" s="792">
        <v>470</v>
      </c>
      <c r="D40" s="792">
        <v>16275</v>
      </c>
      <c r="E40" s="792">
        <v>3021</v>
      </c>
      <c r="F40" s="792">
        <v>11566</v>
      </c>
      <c r="G40" s="792">
        <v>8828</v>
      </c>
      <c r="H40" s="792">
        <v>2455</v>
      </c>
      <c r="I40" s="792">
        <v>42145</v>
      </c>
      <c r="J40" s="792">
        <v>54529</v>
      </c>
      <c r="K40" s="792">
        <v>12384</v>
      </c>
    </row>
    <row r="41" spans="1:11" ht="15.75" hidden="1" thickBot="1">
      <c r="A41" s="792" t="s">
        <v>1540</v>
      </c>
      <c r="B41" s="792">
        <v>15715</v>
      </c>
      <c r="C41" s="792">
        <v>465</v>
      </c>
      <c r="D41" s="792">
        <v>16180</v>
      </c>
      <c r="E41" s="792">
        <v>2765</v>
      </c>
      <c r="F41" s="792">
        <v>11903</v>
      </c>
      <c r="G41" s="792">
        <v>8515</v>
      </c>
      <c r="H41" s="792">
        <v>2502</v>
      </c>
      <c r="I41" s="792">
        <v>41865</v>
      </c>
      <c r="J41" s="792">
        <v>54283</v>
      </c>
      <c r="K41" s="792">
        <v>12418</v>
      </c>
    </row>
    <row r="42" spans="1:11" ht="15.75" hidden="1" thickBot="1">
      <c r="A42" s="792" t="s">
        <v>1539</v>
      </c>
      <c r="B42" s="792">
        <v>16039</v>
      </c>
      <c r="C42" s="792">
        <v>456</v>
      </c>
      <c r="D42" s="792">
        <v>16495</v>
      </c>
      <c r="E42" s="792">
        <v>2677</v>
      </c>
      <c r="F42" s="792">
        <v>12298</v>
      </c>
      <c r="G42" s="792">
        <v>8524</v>
      </c>
      <c r="H42" s="792">
        <v>2575</v>
      </c>
      <c r="I42" s="792">
        <v>42569</v>
      </c>
      <c r="J42" s="792">
        <v>55759</v>
      </c>
      <c r="K42" s="792">
        <v>13190</v>
      </c>
    </row>
    <row r="43" spans="1:11" ht="15.75" hidden="1" thickBot="1">
      <c r="A43" s="792" t="s">
        <v>1538</v>
      </c>
      <c r="B43" s="792">
        <v>15286</v>
      </c>
      <c r="C43" s="792">
        <v>460</v>
      </c>
      <c r="D43" s="792">
        <v>15746</v>
      </c>
      <c r="E43" s="792">
        <v>2523</v>
      </c>
      <c r="F43" s="792">
        <v>13185</v>
      </c>
      <c r="G43" s="792">
        <v>8611</v>
      </c>
      <c r="H43" s="792">
        <v>2827</v>
      </c>
      <c r="I43" s="792">
        <v>42892</v>
      </c>
      <c r="J43" s="792">
        <v>56036</v>
      </c>
      <c r="K43" s="792">
        <v>13144</v>
      </c>
    </row>
    <row r="44" spans="1:11" ht="15.75" hidden="1" thickBot="1">
      <c r="A44" s="792" t="s">
        <v>1537</v>
      </c>
      <c r="B44" s="792">
        <v>16640</v>
      </c>
      <c r="C44" s="792">
        <v>462</v>
      </c>
      <c r="D44" s="792">
        <v>17102</v>
      </c>
      <c r="E44" s="792">
        <v>2996</v>
      </c>
      <c r="F44" s="792">
        <v>13716</v>
      </c>
      <c r="G44" s="792">
        <v>9498</v>
      </c>
      <c r="H44" s="792">
        <v>2836</v>
      </c>
      <c r="I44" s="792">
        <v>46148</v>
      </c>
      <c r="J44" s="792">
        <v>61125</v>
      </c>
      <c r="K44" s="792">
        <v>14977</v>
      </c>
    </row>
    <row r="45" spans="1:11" ht="15.75" hidden="1" thickBot="1">
      <c r="A45" s="792" t="s">
        <v>1536</v>
      </c>
      <c r="B45" s="792">
        <v>16646</v>
      </c>
      <c r="C45" s="792">
        <v>478</v>
      </c>
      <c r="D45" s="792">
        <v>17124</v>
      </c>
      <c r="E45" s="792">
        <v>2941</v>
      </c>
      <c r="F45" s="792">
        <v>14049</v>
      </c>
      <c r="G45" s="792">
        <v>9837</v>
      </c>
      <c r="H45" s="792">
        <v>2751</v>
      </c>
      <c r="I45" s="792">
        <v>46702</v>
      </c>
      <c r="J45" s="792">
        <v>61852</v>
      </c>
      <c r="K45" s="792">
        <v>15150</v>
      </c>
    </row>
    <row r="46" spans="1:11" ht="15.75" hidden="1" thickBot="1">
      <c r="A46" s="792" t="s">
        <v>1535</v>
      </c>
      <c r="B46" s="792">
        <v>16973</v>
      </c>
      <c r="C46" s="792">
        <v>480</v>
      </c>
      <c r="D46" s="792">
        <v>17453</v>
      </c>
      <c r="E46" s="792">
        <v>2944</v>
      </c>
      <c r="F46" s="792">
        <v>14257</v>
      </c>
      <c r="G46" s="792">
        <v>10437</v>
      </c>
      <c r="H46" s="792">
        <v>2932</v>
      </c>
      <c r="I46" s="792">
        <v>48023</v>
      </c>
      <c r="J46" s="792">
        <v>63204</v>
      </c>
      <c r="K46" s="792">
        <v>15181</v>
      </c>
    </row>
    <row r="47" spans="1:11" ht="15.75" hidden="1" thickBot="1">
      <c r="A47" s="792" t="s">
        <v>1534</v>
      </c>
      <c r="B47" s="792">
        <v>17327</v>
      </c>
      <c r="C47" s="792">
        <v>464</v>
      </c>
      <c r="D47" s="792">
        <v>17791</v>
      </c>
      <c r="E47" s="792">
        <v>2991</v>
      </c>
      <c r="F47" s="792">
        <v>15168</v>
      </c>
      <c r="G47" s="792">
        <v>10869</v>
      </c>
      <c r="H47" s="792">
        <v>3048</v>
      </c>
      <c r="I47" s="792">
        <v>49867</v>
      </c>
      <c r="J47" s="792">
        <v>65680</v>
      </c>
      <c r="K47" s="792">
        <v>15813</v>
      </c>
    </row>
    <row r="48" spans="1:11" ht="15.75" hidden="1" thickBot="1">
      <c r="A48" s="792" t="s">
        <v>1533</v>
      </c>
      <c r="B48" s="792">
        <v>16503</v>
      </c>
      <c r="C48" s="792">
        <v>483</v>
      </c>
      <c r="D48" s="792">
        <v>16986</v>
      </c>
      <c r="E48" s="792">
        <v>3179</v>
      </c>
      <c r="F48" s="792">
        <v>15815</v>
      </c>
      <c r="G48" s="792">
        <v>11105</v>
      </c>
      <c r="H48" s="792">
        <v>3211</v>
      </c>
      <c r="I48" s="792">
        <v>50296</v>
      </c>
      <c r="J48" s="792">
        <v>66761</v>
      </c>
      <c r="K48" s="792">
        <v>16465</v>
      </c>
    </row>
    <row r="49" spans="1:11" ht="15.75" hidden="1" thickBot="1">
      <c r="A49" s="792" t="s">
        <v>1532</v>
      </c>
      <c r="B49" s="792">
        <v>16653</v>
      </c>
      <c r="C49" s="792">
        <v>485</v>
      </c>
      <c r="D49" s="792">
        <v>17138</v>
      </c>
      <c r="E49" s="792">
        <v>3170</v>
      </c>
      <c r="F49" s="792">
        <v>16376</v>
      </c>
      <c r="G49" s="792">
        <v>11220</v>
      </c>
      <c r="H49" s="792">
        <v>3435</v>
      </c>
      <c r="I49" s="792">
        <v>51339</v>
      </c>
      <c r="J49" s="792">
        <v>68254</v>
      </c>
      <c r="K49" s="792">
        <v>16915</v>
      </c>
    </row>
    <row r="50" spans="1:11" ht="15.75" hidden="1" thickBot="1">
      <c r="A50" s="792" t="s">
        <v>1269</v>
      </c>
      <c r="B50" s="792">
        <v>1679</v>
      </c>
      <c r="C50" s="792">
        <v>480</v>
      </c>
      <c r="D50" s="792">
        <v>2159</v>
      </c>
      <c r="E50" s="792">
        <v>3276</v>
      </c>
      <c r="F50" s="792">
        <v>17189</v>
      </c>
      <c r="G50" s="792">
        <v>11722</v>
      </c>
      <c r="H50" s="792">
        <v>3533</v>
      </c>
      <c r="I50" s="792">
        <v>37879</v>
      </c>
      <c r="J50" s="792">
        <v>70646</v>
      </c>
      <c r="K50" s="792">
        <v>32767</v>
      </c>
    </row>
    <row r="51" spans="1:11" ht="15.75" hidden="1" thickBot="1">
      <c r="A51" s="792" t="s">
        <v>1531</v>
      </c>
      <c r="B51" s="792">
        <v>16561</v>
      </c>
      <c r="C51" s="792">
        <v>559</v>
      </c>
      <c r="D51" s="792">
        <v>17120</v>
      </c>
      <c r="E51" s="792">
        <v>3118</v>
      </c>
      <c r="F51" s="792">
        <v>17910</v>
      </c>
      <c r="G51" s="792">
        <v>11787</v>
      </c>
      <c r="H51" s="792">
        <v>3467</v>
      </c>
      <c r="I51" s="792">
        <v>53402</v>
      </c>
      <c r="J51" s="792">
        <v>71352</v>
      </c>
      <c r="K51" s="792">
        <v>17950</v>
      </c>
    </row>
    <row r="52" spans="1:11" ht="15.75" hidden="1" thickBot="1">
      <c r="K52" s="1" t="s">
        <v>1530</v>
      </c>
    </row>
    <row r="53" spans="1:11" s="7" customFormat="1" ht="23.25" customHeight="1" thickTop="1">
      <c r="A53" s="2229" t="s">
        <v>2765</v>
      </c>
      <c r="B53" s="2230"/>
      <c r="C53" s="2230"/>
      <c r="D53" s="2230"/>
      <c r="E53" s="2230"/>
      <c r="F53" s="2230"/>
      <c r="G53" s="2230"/>
      <c r="H53" s="2230"/>
      <c r="I53" s="2230"/>
      <c r="J53" s="2230"/>
      <c r="K53" s="2231"/>
    </row>
    <row r="54" spans="1:11" s="7" customFormat="1" ht="23.25" customHeight="1">
      <c r="A54" s="2224" t="s">
        <v>2766</v>
      </c>
      <c r="B54" s="2193"/>
      <c r="C54" s="2193"/>
      <c r="D54" s="2193"/>
      <c r="E54" s="2193"/>
      <c r="F54" s="2193"/>
      <c r="G54" s="2193"/>
      <c r="H54" s="2193"/>
      <c r="I54" s="2193"/>
      <c r="J54" s="2193"/>
      <c r="K54" s="2225"/>
    </row>
    <row r="55" spans="1:11" ht="23.25" customHeight="1">
      <c r="A55" s="2234" t="s">
        <v>1529</v>
      </c>
      <c r="B55" s="2235"/>
      <c r="C55" s="2235"/>
      <c r="D55" s="2235"/>
      <c r="E55" s="2235"/>
      <c r="F55" s="2235"/>
      <c r="G55" s="2235"/>
      <c r="H55" s="2235"/>
      <c r="I55" s="2235"/>
      <c r="J55" s="2235"/>
      <c r="K55" s="2236"/>
    </row>
    <row r="56" spans="1:11" s="81" customFormat="1" ht="41.25" customHeight="1">
      <c r="A56" s="2237" t="s">
        <v>1528</v>
      </c>
      <c r="B56" s="2240" t="s">
        <v>1527</v>
      </c>
      <c r="C56" s="2241"/>
      <c r="D56" s="2241"/>
      <c r="E56" s="2241"/>
      <c r="F56" s="2241"/>
      <c r="G56" s="2241"/>
      <c r="H56" s="2242"/>
      <c r="I56" s="2232" t="s">
        <v>1526</v>
      </c>
      <c r="J56" s="2232" t="s">
        <v>1525</v>
      </c>
      <c r="K56" s="2244" t="s">
        <v>1524</v>
      </c>
    </row>
    <row r="57" spans="1:11" s="81" customFormat="1" ht="49.5" customHeight="1">
      <c r="A57" s="2238"/>
      <c r="B57" s="2247" t="s">
        <v>1523</v>
      </c>
      <c r="C57" s="2248"/>
      <c r="D57" s="2207"/>
      <c r="E57" s="2232" t="s">
        <v>1522</v>
      </c>
      <c r="F57" s="2232" t="s">
        <v>1521</v>
      </c>
      <c r="G57" s="2232" t="s">
        <v>1520</v>
      </c>
      <c r="H57" s="2232" t="s">
        <v>1519</v>
      </c>
      <c r="I57" s="2243"/>
      <c r="J57" s="2243"/>
      <c r="K57" s="2245"/>
    </row>
    <row r="58" spans="1:11" s="81" customFormat="1" ht="39" customHeight="1">
      <c r="A58" s="2239"/>
      <c r="B58" s="1702" t="s">
        <v>1518</v>
      </c>
      <c r="C58" s="1702" t="s">
        <v>1517</v>
      </c>
      <c r="D58" s="1702" t="s">
        <v>303</v>
      </c>
      <c r="E58" s="2233"/>
      <c r="F58" s="2233"/>
      <c r="G58" s="2233"/>
      <c r="H58" s="2233"/>
      <c r="I58" s="2233"/>
      <c r="J58" s="2233"/>
      <c r="K58" s="2246"/>
    </row>
    <row r="59" spans="1:11" s="7" customFormat="1" ht="24.95" customHeight="1">
      <c r="A59" s="783" t="s">
        <v>1239</v>
      </c>
      <c r="B59" s="777">
        <v>16889.283756321587</v>
      </c>
      <c r="C59" s="777">
        <v>219.7</v>
      </c>
      <c r="D59" s="777">
        <v>17108.983756321588</v>
      </c>
      <c r="E59" s="777">
        <v>2821.0707152974842</v>
      </c>
      <c r="F59" s="777">
        <v>19337.744975654292</v>
      </c>
      <c r="G59" s="777">
        <v>12456.713744309454</v>
      </c>
      <c r="H59" s="777">
        <v>3387.6840391797291</v>
      </c>
      <c r="I59" s="777">
        <v>55112.197230762547</v>
      </c>
      <c r="J59" s="777">
        <v>76026.486410922007</v>
      </c>
      <c r="K59" s="776">
        <v>20914.28918015946</v>
      </c>
    </row>
    <row r="60" spans="1:11" s="7" customFormat="1" ht="24.95" customHeight="1">
      <c r="A60" s="783" t="s">
        <v>935</v>
      </c>
      <c r="B60" s="777">
        <v>17186.190107274728</v>
      </c>
      <c r="C60" s="777">
        <v>210.59199999999998</v>
      </c>
      <c r="D60" s="777">
        <v>17396.782107274728</v>
      </c>
      <c r="E60" s="777">
        <v>2596.6823169766885</v>
      </c>
      <c r="F60" s="777">
        <v>19680.167933348883</v>
      </c>
      <c r="G60" s="777">
        <v>12430.541958510335</v>
      </c>
      <c r="H60" s="777">
        <v>3106.180108540937</v>
      </c>
      <c r="I60" s="777">
        <v>55210.354424651581</v>
      </c>
      <c r="J60" s="777">
        <v>75670.301225804476</v>
      </c>
      <c r="K60" s="776">
        <v>20459.946801152895</v>
      </c>
    </row>
    <row r="61" spans="1:11" s="7" customFormat="1" ht="24.95" customHeight="1">
      <c r="A61" s="783" t="s">
        <v>934</v>
      </c>
      <c r="B61" s="777">
        <v>17099.027319886529</v>
      </c>
      <c r="C61" s="777">
        <v>212.16499999999999</v>
      </c>
      <c r="D61" s="777">
        <v>17311.19231988653</v>
      </c>
      <c r="E61" s="777">
        <v>2794.9148353417672</v>
      </c>
      <c r="F61" s="777">
        <v>21394.276519474151</v>
      </c>
      <c r="G61" s="777">
        <v>12606.288837955346</v>
      </c>
      <c r="H61" s="777">
        <v>3329.1692094066475</v>
      </c>
      <c r="I61" s="777">
        <v>57435.841722064441</v>
      </c>
      <c r="J61" s="777">
        <v>78669.948270400026</v>
      </c>
      <c r="K61" s="776">
        <v>21234.106548335585</v>
      </c>
    </row>
    <row r="62" spans="1:11" s="7" customFormat="1" ht="24.95" customHeight="1">
      <c r="A62" s="783" t="s">
        <v>933</v>
      </c>
      <c r="B62" s="777">
        <v>17246.688280828283</v>
      </c>
      <c r="C62" s="777">
        <v>193.61199999999999</v>
      </c>
      <c r="D62" s="777">
        <v>17440.300280828284</v>
      </c>
      <c r="E62" s="777">
        <v>2539.3852691646171</v>
      </c>
      <c r="F62" s="777">
        <v>22042.161047671561</v>
      </c>
      <c r="G62" s="777">
        <v>12596.786333256525</v>
      </c>
      <c r="H62" s="777">
        <v>2912.0490534770192</v>
      </c>
      <c r="I62" s="777">
        <v>57530.681984398012</v>
      </c>
      <c r="J62" s="777">
        <v>79215.934083028274</v>
      </c>
      <c r="K62" s="776">
        <v>21685.252098630262</v>
      </c>
    </row>
    <row r="63" spans="1:11" s="7" customFormat="1" ht="24.95" customHeight="1">
      <c r="A63" s="783" t="s">
        <v>932</v>
      </c>
      <c r="B63" s="777">
        <v>15808.991097865868</v>
      </c>
      <c r="C63" s="777">
        <v>202.81800000000004</v>
      </c>
      <c r="D63" s="777">
        <v>16011.809097865867</v>
      </c>
      <c r="E63" s="777">
        <v>2466.2581166095056</v>
      </c>
      <c r="F63" s="777">
        <v>22565.646498084672</v>
      </c>
      <c r="G63" s="777">
        <v>11252.277960682899</v>
      </c>
      <c r="H63" s="777">
        <v>2908.5200977475206</v>
      </c>
      <c r="I63" s="777">
        <v>55204.511770990459</v>
      </c>
      <c r="J63" s="777">
        <v>76186.810462810143</v>
      </c>
      <c r="K63" s="776">
        <v>20982.298691819684</v>
      </c>
    </row>
    <row r="64" spans="1:11" s="7" customFormat="1" ht="24.95" customHeight="1">
      <c r="A64" s="783" t="s">
        <v>931</v>
      </c>
      <c r="B64" s="777">
        <v>14993.05706649378</v>
      </c>
      <c r="C64" s="777">
        <v>208.56700000000001</v>
      </c>
      <c r="D64" s="777">
        <v>15201.62406649378</v>
      </c>
      <c r="E64" s="777">
        <v>2195.7269589841781</v>
      </c>
      <c r="F64" s="777">
        <v>23244.579767971132</v>
      </c>
      <c r="G64" s="777">
        <v>11952.0167805493</v>
      </c>
      <c r="H64" s="777">
        <v>4341.6724952281147</v>
      </c>
      <c r="I64" s="777">
        <v>56935.620069226505</v>
      </c>
      <c r="J64" s="777">
        <v>78370.690627186326</v>
      </c>
      <c r="K64" s="776">
        <v>21435.070557959822</v>
      </c>
    </row>
    <row r="65" spans="1:11" s="7" customFormat="1" ht="24.95" customHeight="1">
      <c r="A65" s="783" t="s">
        <v>930</v>
      </c>
      <c r="B65" s="777">
        <v>13867.142472652553</v>
      </c>
      <c r="C65" s="777">
        <v>206.02599999999998</v>
      </c>
      <c r="D65" s="777">
        <v>14073.168472652553</v>
      </c>
      <c r="E65" s="777">
        <v>1810.7934899192949</v>
      </c>
      <c r="F65" s="777">
        <v>25626.780709491053</v>
      </c>
      <c r="G65" s="777">
        <v>8727.3463561213848</v>
      </c>
      <c r="H65" s="777">
        <v>3658.4772694064745</v>
      </c>
      <c r="I65" s="777">
        <v>53896.566297590762</v>
      </c>
      <c r="J65" s="777">
        <v>73055.303567169569</v>
      </c>
      <c r="K65" s="776">
        <v>19158.737269578807</v>
      </c>
    </row>
    <row r="66" spans="1:11" s="7" customFormat="1" ht="24.95" customHeight="1">
      <c r="A66" s="783" t="s">
        <v>487</v>
      </c>
      <c r="B66" s="777">
        <v>14251.404236785547</v>
      </c>
      <c r="C66" s="777">
        <v>206.465</v>
      </c>
      <c r="D66" s="777">
        <v>14457.869236785547</v>
      </c>
      <c r="E66" s="777">
        <v>1916.2308112301525</v>
      </c>
      <c r="F66" s="777">
        <v>26691.355122817637</v>
      </c>
      <c r="G66" s="777">
        <v>9693.2310415154898</v>
      </c>
      <c r="H66" s="777">
        <v>4298.7137582849009</v>
      </c>
      <c r="I66" s="777">
        <v>57057.399970633727</v>
      </c>
      <c r="J66" s="777">
        <v>78042.10983710298</v>
      </c>
      <c r="K66" s="776">
        <v>20984.709866469253</v>
      </c>
    </row>
    <row r="67" spans="1:11" s="7" customFormat="1" ht="24.95" customHeight="1">
      <c r="A67" s="783" t="s">
        <v>486</v>
      </c>
      <c r="B67" s="777">
        <v>14552.701201825312</v>
      </c>
      <c r="C67" s="777">
        <v>213.68700000000001</v>
      </c>
      <c r="D67" s="777">
        <v>14766.388201825312</v>
      </c>
      <c r="E67" s="777">
        <v>1734.2421623931623</v>
      </c>
      <c r="F67" s="777">
        <v>25234.553655390118</v>
      </c>
      <c r="G67" s="777">
        <v>9955.7761623931619</v>
      </c>
      <c r="H67" s="777">
        <v>7537.8693418803414</v>
      </c>
      <c r="I67" s="777">
        <v>59228.829523882101</v>
      </c>
      <c r="J67" s="777">
        <v>81078.05306892829</v>
      </c>
      <c r="K67" s="776">
        <v>21849.223545046189</v>
      </c>
    </row>
    <row r="68" spans="1:11" s="7" customFormat="1" ht="24.95" customHeight="1">
      <c r="A68" s="783" t="s">
        <v>485</v>
      </c>
      <c r="B68" s="777">
        <v>16490.049170197741</v>
      </c>
      <c r="C68" s="777">
        <v>227.47400000000002</v>
      </c>
      <c r="D68" s="777">
        <v>16717.523170197739</v>
      </c>
      <c r="E68" s="777">
        <v>2083.101695098424</v>
      </c>
      <c r="F68" s="777">
        <v>26025.399443610546</v>
      </c>
      <c r="G68" s="777">
        <v>10044.385561395788</v>
      </c>
      <c r="H68" s="777">
        <v>5966.3879133468081</v>
      </c>
      <c r="I68" s="777">
        <v>60836.797783649301</v>
      </c>
      <c r="J68" s="777">
        <v>84278.754086860674</v>
      </c>
      <c r="K68" s="776">
        <v>23441.956303211373</v>
      </c>
    </row>
    <row r="69" spans="1:11" s="7" customFormat="1" ht="24.95" customHeight="1">
      <c r="A69" s="783" t="s">
        <v>484</v>
      </c>
      <c r="B69" s="777">
        <v>16802.373192805069</v>
      </c>
      <c r="C69" s="777">
        <v>224.24600000000004</v>
      </c>
      <c r="D69" s="777">
        <v>17026.619192805068</v>
      </c>
      <c r="E69" s="777">
        <v>2078.1937754665023</v>
      </c>
      <c r="F69" s="777">
        <v>26941.63379297057</v>
      </c>
      <c r="G69" s="777">
        <v>10698.22808461483</v>
      </c>
      <c r="H69" s="777">
        <v>5998.7637673685731</v>
      </c>
      <c r="I69" s="777">
        <v>62743.438613225546</v>
      </c>
      <c r="J69" s="777">
        <v>86751.660930746308</v>
      </c>
      <c r="K69" s="776">
        <v>24008.222317520762</v>
      </c>
    </row>
    <row r="70" spans="1:11" s="7" customFormat="1" ht="24.95" customHeight="1">
      <c r="A70" s="783" t="s">
        <v>483</v>
      </c>
      <c r="B70" s="777">
        <v>16531.257290461475</v>
      </c>
      <c r="C70" s="777">
        <v>216.85500000000002</v>
      </c>
      <c r="D70" s="777">
        <v>16748.112290461475</v>
      </c>
      <c r="E70" s="777">
        <v>1973.1608077153994</v>
      </c>
      <c r="F70" s="777">
        <v>28496.198171261156</v>
      </c>
      <c r="G70" s="777">
        <v>9864.1225045349383</v>
      </c>
      <c r="H70" s="777">
        <v>6106.9894890265105</v>
      </c>
      <c r="I70" s="777">
        <v>63188.583262999484</v>
      </c>
      <c r="J70" s="777">
        <v>88057.400487974635</v>
      </c>
      <c r="K70" s="776">
        <v>24868.817224975151</v>
      </c>
    </row>
    <row r="71" spans="1:11" s="7" customFormat="1" ht="24.95" customHeight="1">
      <c r="A71" s="783" t="s">
        <v>1516</v>
      </c>
      <c r="B71" s="777">
        <v>16686.311877351785</v>
      </c>
      <c r="C71" s="777">
        <v>195.06400000000005</v>
      </c>
      <c r="D71" s="777">
        <v>16881.375877351784</v>
      </c>
      <c r="E71" s="777">
        <v>1980.5524905939048</v>
      </c>
      <c r="F71" s="777">
        <v>28366.375615669913</v>
      </c>
      <c r="G71" s="777">
        <v>10389.055819434992</v>
      </c>
      <c r="H71" s="777">
        <v>6020.022132882501</v>
      </c>
      <c r="I71" s="777">
        <v>63637.381935933096</v>
      </c>
      <c r="J71" s="777">
        <v>88895.145021499644</v>
      </c>
      <c r="K71" s="776">
        <v>25257.763085566548</v>
      </c>
    </row>
    <row r="72" spans="1:11" s="7" customFormat="1" ht="24.95" customHeight="1">
      <c r="A72" s="783" t="s">
        <v>1515</v>
      </c>
      <c r="B72" s="777">
        <v>14786.440849495506</v>
      </c>
      <c r="C72" s="777">
        <v>188.27800000000002</v>
      </c>
      <c r="D72" s="777">
        <v>14974.718849495506</v>
      </c>
      <c r="E72" s="777">
        <v>1585.422</v>
      </c>
      <c r="F72" s="777">
        <v>28369.833599775433</v>
      </c>
      <c r="G72" s="777">
        <v>9990.5680000000011</v>
      </c>
      <c r="H72" s="777">
        <v>7024.0084244327982</v>
      </c>
      <c r="I72" s="777">
        <v>61944.550873703738</v>
      </c>
      <c r="J72" s="777">
        <v>85086.995983569795</v>
      </c>
      <c r="K72" s="776">
        <v>23142.445109866057</v>
      </c>
    </row>
    <row r="73" spans="1:11" s="7" customFormat="1" ht="24.95" customHeight="1">
      <c r="A73" s="783" t="s">
        <v>1514</v>
      </c>
      <c r="B73" s="777">
        <v>15475.120508156202</v>
      </c>
      <c r="C73" s="777">
        <v>170.642</v>
      </c>
      <c r="D73" s="777">
        <v>15645.762508156202</v>
      </c>
      <c r="E73" s="777">
        <v>1978.614</v>
      </c>
      <c r="F73" s="777">
        <v>28543.081754963205</v>
      </c>
      <c r="G73" s="777">
        <v>10628.596999999998</v>
      </c>
      <c r="H73" s="777">
        <v>6869.3615289042309</v>
      </c>
      <c r="I73" s="777">
        <v>63665.416792023629</v>
      </c>
      <c r="J73" s="777">
        <v>88940.185659945928</v>
      </c>
      <c r="K73" s="776">
        <v>25274.768867922299</v>
      </c>
    </row>
    <row r="74" spans="1:11" s="7" customFormat="1" ht="24.95" customHeight="1">
      <c r="A74" s="783" t="s">
        <v>1513</v>
      </c>
      <c r="B74" s="777">
        <v>15836.548716321131</v>
      </c>
      <c r="C74" s="777">
        <v>171.684</v>
      </c>
      <c r="D74" s="777">
        <v>16008.23271632113</v>
      </c>
      <c r="E74" s="777">
        <v>1916.8690000000001</v>
      </c>
      <c r="F74" s="777">
        <v>29943.316994938774</v>
      </c>
      <c r="G74" s="777">
        <v>10593.737999999998</v>
      </c>
      <c r="H74" s="777">
        <v>7244.9993354247727</v>
      </c>
      <c r="I74" s="777">
        <v>65707.156046684671</v>
      </c>
      <c r="J74" s="777">
        <v>91786.163213687803</v>
      </c>
      <c r="K74" s="776">
        <v>26079.007167003132</v>
      </c>
    </row>
    <row r="75" spans="1:11" s="7" customFormat="1" ht="24.95" customHeight="1">
      <c r="A75" s="783" t="s">
        <v>1512</v>
      </c>
      <c r="B75" s="777">
        <v>15511.922316365914</v>
      </c>
      <c r="C75" s="777">
        <v>165.26145</v>
      </c>
      <c r="D75" s="777">
        <v>15677.183766365913</v>
      </c>
      <c r="E75" s="777">
        <v>1751.4909999999998</v>
      </c>
      <c r="F75" s="777">
        <v>30543.334069727334</v>
      </c>
      <c r="G75" s="777">
        <v>10762.169</v>
      </c>
      <c r="H75" s="777">
        <v>7552.7804063304457</v>
      </c>
      <c r="I75" s="777">
        <v>66286.958242423687</v>
      </c>
      <c r="J75" s="777">
        <v>92243.637651061668</v>
      </c>
      <c r="K75" s="776">
        <v>25956.679408637981</v>
      </c>
    </row>
    <row r="76" spans="1:11" s="7" customFormat="1" ht="24.95" customHeight="1">
      <c r="A76" s="783" t="s">
        <v>1511</v>
      </c>
      <c r="B76" s="777">
        <v>16116.310931958944</v>
      </c>
      <c r="C76" s="777">
        <v>166.78</v>
      </c>
      <c r="D76" s="777">
        <v>16283.090931958945</v>
      </c>
      <c r="E76" s="777">
        <v>1841.5050000000001</v>
      </c>
      <c r="F76" s="777">
        <v>31129.687482509751</v>
      </c>
      <c r="G76" s="777">
        <v>11309.671</v>
      </c>
      <c r="H76" s="777">
        <v>7553.120473142556</v>
      </c>
      <c r="I76" s="777">
        <v>68117.074887611248</v>
      </c>
      <c r="J76" s="777">
        <v>95759.077645647849</v>
      </c>
      <c r="K76" s="776">
        <v>27642.0027580366</v>
      </c>
    </row>
    <row r="77" spans="1:11" s="7" customFormat="1" ht="24.95" customHeight="1">
      <c r="A77" s="783" t="s">
        <v>1510</v>
      </c>
      <c r="B77" s="777">
        <v>16017.055810793518</v>
      </c>
      <c r="C77" s="777">
        <v>166.54000000000002</v>
      </c>
      <c r="D77" s="777">
        <v>16183.595810793518</v>
      </c>
      <c r="E77" s="777">
        <v>1723.201</v>
      </c>
      <c r="F77" s="777">
        <v>31609.527821088246</v>
      </c>
      <c r="G77" s="777">
        <v>11350.339999999998</v>
      </c>
      <c r="H77" s="777">
        <v>7516.9059772505861</v>
      </c>
      <c r="I77" s="777">
        <v>68383.570609132352</v>
      </c>
      <c r="J77" s="777">
        <v>96754.314482124406</v>
      </c>
      <c r="K77" s="776">
        <v>28370.743872992054</v>
      </c>
    </row>
    <row r="78" spans="1:11" s="7" customFormat="1" ht="24.95" customHeight="1">
      <c r="A78" s="783" t="s">
        <v>1509</v>
      </c>
      <c r="B78" s="777">
        <v>15023.120410194526</v>
      </c>
      <c r="C78" s="777">
        <v>155.05000000000001</v>
      </c>
      <c r="D78" s="777">
        <v>15178.170410194525</v>
      </c>
      <c r="E78" s="777">
        <v>1735.8520000000003</v>
      </c>
      <c r="F78" s="777">
        <v>32161.597907865744</v>
      </c>
      <c r="G78" s="777">
        <v>10955.670999999997</v>
      </c>
      <c r="H78" s="777">
        <v>7268.997994438696</v>
      </c>
      <c r="I78" s="777">
        <v>67300.289312498964</v>
      </c>
      <c r="J78" s="777">
        <v>96782.473384710436</v>
      </c>
      <c r="K78" s="776">
        <v>29482.184072211472</v>
      </c>
    </row>
    <row r="79" spans="1:11" s="7" customFormat="1" ht="24.95" customHeight="1">
      <c r="A79" s="783" t="s">
        <v>1508</v>
      </c>
      <c r="B79" s="777">
        <v>15506.016538542057</v>
      </c>
      <c r="C79" s="777">
        <v>163.46</v>
      </c>
      <c r="D79" s="777">
        <v>15669.476538542056</v>
      </c>
      <c r="E79" s="777">
        <v>1629.7640000000001</v>
      </c>
      <c r="F79" s="777">
        <v>32930.38595364448</v>
      </c>
      <c r="G79" s="777">
        <v>11022.15</v>
      </c>
      <c r="H79" s="777">
        <v>7397.2739333571444</v>
      </c>
      <c r="I79" s="777">
        <v>68649.050425543683</v>
      </c>
      <c r="J79" s="777">
        <v>98147.909915752942</v>
      </c>
      <c r="K79" s="776">
        <v>29498.859490209259</v>
      </c>
    </row>
    <row r="80" spans="1:11" s="7" customFormat="1" ht="24.95" customHeight="1">
      <c r="A80" s="783" t="s">
        <v>1507</v>
      </c>
      <c r="B80" s="777">
        <v>15548.1990039836</v>
      </c>
      <c r="C80" s="777">
        <v>171.49199999999999</v>
      </c>
      <c r="D80" s="777">
        <v>15719.6910039836</v>
      </c>
      <c r="E80" s="777">
        <v>1706.6370000000002</v>
      </c>
      <c r="F80" s="777">
        <v>33778.122482103019</v>
      </c>
      <c r="G80" s="777">
        <v>11013.664999999999</v>
      </c>
      <c r="H80" s="777">
        <v>7259.5723164553337</v>
      </c>
      <c r="I80" s="777">
        <v>69477.687802541943</v>
      </c>
      <c r="J80" s="777">
        <v>100084.67166645592</v>
      </c>
      <c r="K80" s="776">
        <v>30606.983863913978</v>
      </c>
    </row>
    <row r="81" spans="1:11" s="7" customFormat="1" ht="24.95" customHeight="1">
      <c r="A81" s="783" t="s">
        <v>1506</v>
      </c>
      <c r="B81" s="777">
        <v>16263.963605262714</v>
      </c>
      <c r="C81" s="777">
        <v>165.27600000000001</v>
      </c>
      <c r="D81" s="777">
        <v>16429.239605262715</v>
      </c>
      <c r="E81" s="777">
        <v>1668.2128200000002</v>
      </c>
      <c r="F81" s="777">
        <v>34707.533755850869</v>
      </c>
      <c r="G81" s="777">
        <v>11041.619689999998</v>
      </c>
      <c r="H81" s="777">
        <v>7707.3033842684199</v>
      </c>
      <c r="I81" s="777">
        <v>71553.909255382008</v>
      </c>
      <c r="J81" s="777">
        <v>102667.26894731214</v>
      </c>
      <c r="K81" s="776">
        <v>31113.359691930134</v>
      </c>
    </row>
    <row r="82" spans="1:11" s="7" customFormat="1" ht="24.95" customHeight="1">
      <c r="A82" s="721" t="s">
        <v>1505</v>
      </c>
      <c r="B82" s="1349"/>
      <c r="C82" s="1349"/>
      <c r="D82" s="1349"/>
      <c r="E82" s="1349"/>
      <c r="F82" s="1349"/>
      <c r="G82" s="1349"/>
      <c r="H82" s="1349"/>
      <c r="I82" s="1349"/>
      <c r="J82" s="1349"/>
      <c r="K82" s="791"/>
    </row>
    <row r="83" spans="1:11" s="7" customFormat="1" ht="34.5" customHeight="1">
      <c r="A83" s="2215" t="s">
        <v>1504</v>
      </c>
      <c r="B83" s="2184"/>
      <c r="C83" s="2184"/>
      <c r="D83" s="2184"/>
      <c r="E83" s="2184"/>
      <c r="F83" s="2184"/>
      <c r="G83" s="2184"/>
      <c r="H83" s="2184"/>
      <c r="I83" s="2184"/>
      <c r="J83" s="2184"/>
      <c r="K83" s="2216"/>
    </row>
    <row r="84" spans="1:11" s="7" customFormat="1" ht="24.75" customHeight="1" thickBot="1">
      <c r="A84" s="442"/>
      <c r="B84" s="194"/>
      <c r="C84" s="194"/>
      <c r="D84" s="194"/>
      <c r="E84" s="194"/>
      <c r="F84" s="194"/>
      <c r="G84" s="194"/>
      <c r="H84" s="194"/>
      <c r="I84" s="194"/>
      <c r="J84" s="194" t="s">
        <v>1503</v>
      </c>
      <c r="K84" s="197"/>
    </row>
    <row r="85" spans="1:11" ht="15.75" thickTop="1">
      <c r="A85" s="773"/>
      <c r="B85" s="771"/>
      <c r="C85" s="771"/>
      <c r="D85" s="789"/>
      <c r="E85" s="771"/>
      <c r="F85" s="771"/>
      <c r="G85" s="771"/>
      <c r="H85" s="771"/>
      <c r="I85" s="788"/>
      <c r="J85" s="788"/>
      <c r="K85" s="771"/>
    </row>
    <row r="86" spans="1:11">
      <c r="A86" s="773"/>
      <c r="B86" s="771"/>
      <c r="C86" s="771"/>
      <c r="D86" s="789"/>
      <c r="E86" s="771"/>
      <c r="F86" s="771"/>
      <c r="G86" s="771"/>
      <c r="H86" s="771"/>
      <c r="I86" s="788"/>
      <c r="J86" s="273"/>
      <c r="K86" s="771"/>
    </row>
    <row r="87" spans="1:11">
      <c r="A87" s="773"/>
      <c r="B87" s="771"/>
      <c r="C87" s="771"/>
      <c r="D87" s="789"/>
      <c r="E87" s="771"/>
      <c r="F87" s="771"/>
      <c r="G87" s="771"/>
      <c r="H87" s="771"/>
      <c r="I87" s="788"/>
      <c r="J87" s="788"/>
      <c r="K87" s="771"/>
    </row>
    <row r="88" spans="1:11">
      <c r="A88" s="773"/>
      <c r="B88" s="771"/>
      <c r="C88" s="771"/>
      <c r="D88" s="789"/>
      <c r="E88" s="771"/>
      <c r="F88" s="771"/>
      <c r="G88" s="771"/>
      <c r="H88" s="771"/>
      <c r="I88" s="788"/>
      <c r="J88" s="788"/>
      <c r="K88" s="771"/>
    </row>
    <row r="89" spans="1:11">
      <c r="A89" s="773"/>
      <c r="B89" s="771"/>
      <c r="C89" s="771"/>
      <c r="D89" s="789"/>
      <c r="E89" s="771"/>
      <c r="F89" s="771"/>
      <c r="G89" s="771"/>
      <c r="H89" s="771"/>
      <c r="I89" s="788"/>
      <c r="J89" s="788"/>
      <c r="K89" s="771"/>
    </row>
    <row r="90" spans="1:11">
      <c r="A90" s="773"/>
      <c r="B90" s="771"/>
      <c r="C90" s="771"/>
      <c r="D90" s="789"/>
      <c r="E90" s="771"/>
      <c r="F90" s="771"/>
      <c r="G90" s="771"/>
      <c r="H90" s="771"/>
      <c r="I90" s="788"/>
      <c r="J90" s="788"/>
      <c r="K90" s="771"/>
    </row>
    <row r="91" spans="1:11">
      <c r="A91" s="773"/>
      <c r="B91" s="771"/>
      <c r="C91" s="790"/>
      <c r="D91" s="789"/>
      <c r="E91" s="771"/>
      <c r="F91" s="771"/>
      <c r="G91" s="771"/>
      <c r="H91" s="771"/>
      <c r="I91" s="788"/>
      <c r="J91" s="788"/>
      <c r="K91" s="771"/>
    </row>
    <row r="92" spans="1:11">
      <c r="A92" s="773"/>
      <c r="B92" s="771"/>
      <c r="C92" s="771"/>
      <c r="D92" s="789"/>
      <c r="E92" s="771"/>
      <c r="F92" s="771"/>
      <c r="G92" s="771"/>
      <c r="H92" s="771"/>
      <c r="I92" s="788"/>
      <c r="J92" s="788"/>
      <c r="K92" s="771"/>
    </row>
  </sheetData>
  <mergeCells count="25">
    <mergeCell ref="A53:K53"/>
    <mergeCell ref="A54:K54"/>
    <mergeCell ref="A83:K83"/>
    <mergeCell ref="E57:E58"/>
    <mergeCell ref="F57:F58"/>
    <mergeCell ref="G57:G58"/>
    <mergeCell ref="H57:H58"/>
    <mergeCell ref="A55:K55"/>
    <mergeCell ref="A56:A58"/>
    <mergeCell ref="B56:H56"/>
    <mergeCell ref="I56:I58"/>
    <mergeCell ref="J56:J58"/>
    <mergeCell ref="K56:K58"/>
    <mergeCell ref="B57:D57"/>
    <mergeCell ref="A1:K1"/>
    <mergeCell ref="A2:A4"/>
    <mergeCell ref="B2:H2"/>
    <mergeCell ref="I2:I4"/>
    <mergeCell ref="J2:J4"/>
    <mergeCell ref="K2:K4"/>
    <mergeCell ref="B3:D3"/>
    <mergeCell ref="E3:E4"/>
    <mergeCell ref="F3:F4"/>
    <mergeCell ref="G3:G4"/>
    <mergeCell ref="H3:H4"/>
  </mergeCells>
  <conditionalFormatting sqref="L56:XFD78 A56:K57 A58 E58:K58">
    <cfRule type="expression" dxfId="60" priority="2">
      <formula>MOD(ROW(),3)=1</formula>
    </cfRule>
  </conditionalFormatting>
  <conditionalFormatting sqref="A59:K81">
    <cfRule type="expression" dxfId="59" priority="1">
      <formula>MOD(ROW(),3)=1</formula>
    </cfRule>
  </conditionalFormatting>
  <pageMargins left="0.6692913385826772" right="0.15748031496062992" top="0.55118110236220474" bottom="0.74803149606299213" header="0.31496062992125984" footer="0.31496062992125984"/>
  <pageSetup paperSize="9" scale="77" fitToWidth="0" fitToHeight="0" orientation="portrait" r:id="rId1"/>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842C1-E144-4F75-A4E0-96A31CA55A9F}">
  <dimension ref="A1:Y43"/>
  <sheetViews>
    <sheetView tabSelected="1" view="pageBreakPreview" topLeftCell="Q1" zoomScaleSheetLayoutView="100" workbookViewId="0">
      <selection activeCell="AB12" sqref="AB12"/>
    </sheetView>
  </sheetViews>
  <sheetFormatPr defaultColWidth="9.140625" defaultRowHeight="15"/>
  <cols>
    <col min="1" max="1" width="7.28515625" style="1" hidden="1" customWidth="1"/>
    <col min="2" max="2" width="19.85546875" style="1" hidden="1" customWidth="1"/>
    <col min="3" max="7" width="14.7109375" style="1" hidden="1" customWidth="1"/>
    <col min="8" max="8" width="20.5703125" style="1" hidden="1" customWidth="1"/>
    <col min="9" max="9" width="5.85546875" style="1" hidden="1" customWidth="1"/>
    <col min="10" max="10" width="19.85546875" style="1" hidden="1" customWidth="1"/>
    <col min="11" max="11" width="10.85546875" style="1" hidden="1" customWidth="1"/>
    <col min="12" max="12" width="11.42578125" style="1" hidden="1" customWidth="1"/>
    <col min="13" max="13" width="16.28515625" style="1" hidden="1" customWidth="1"/>
    <col min="14" max="14" width="12" style="1" hidden="1" customWidth="1"/>
    <col min="15" max="15" width="10.5703125" style="1" hidden="1" customWidth="1"/>
    <col min="16" max="16" width="18.7109375" style="1" hidden="1" customWidth="1"/>
    <col min="17" max="17" width="9.140625" style="1" customWidth="1"/>
    <col min="18" max="18" width="19.42578125" style="1" customWidth="1"/>
    <col min="19" max="20" width="12.7109375" style="1" customWidth="1"/>
    <col min="21" max="21" width="13.5703125" style="1" customWidth="1"/>
    <col min="22" max="22" width="11.5703125" style="1" customWidth="1"/>
    <col min="23" max="24" width="12" style="1" customWidth="1"/>
    <col min="25" max="25" width="20.42578125" style="1" customWidth="1"/>
    <col min="26" max="16384" width="9.140625" style="1"/>
  </cols>
  <sheetData>
    <row r="1" spans="1:25" s="1862" customFormat="1" ht="30" customHeight="1" thickTop="1">
      <c r="A1" s="2192" t="s">
        <v>1601</v>
      </c>
      <c r="B1" s="2192"/>
      <c r="C1" s="2192"/>
      <c r="D1" s="2192"/>
      <c r="E1" s="2192"/>
      <c r="F1" s="2192"/>
      <c r="G1" s="2192"/>
      <c r="H1" s="2192"/>
      <c r="I1" s="2192" t="s">
        <v>1600</v>
      </c>
      <c r="J1" s="2192"/>
      <c r="K1" s="2192"/>
      <c r="L1" s="2192"/>
      <c r="M1" s="2192"/>
      <c r="N1" s="2192"/>
      <c r="O1" s="2192"/>
      <c r="P1" s="2192"/>
      <c r="Q1" s="1868" t="s">
        <v>2767</v>
      </c>
      <c r="R1" s="1869"/>
      <c r="S1" s="1869"/>
      <c r="T1" s="1869"/>
      <c r="U1" s="1869"/>
      <c r="V1" s="1869"/>
      <c r="W1" s="1869"/>
      <c r="X1" s="1869"/>
      <c r="Y1" s="1870"/>
    </row>
    <row r="2" spans="1:25" s="1862" customFormat="1" ht="30" customHeight="1">
      <c r="A2" s="2192" t="s">
        <v>1599</v>
      </c>
      <c r="B2" s="2193"/>
      <c r="C2" s="2193"/>
      <c r="D2" s="2193"/>
      <c r="E2" s="2193"/>
      <c r="F2" s="2193"/>
      <c r="G2" s="2193"/>
      <c r="H2" s="2193"/>
      <c r="I2" s="2192" t="s">
        <v>1598</v>
      </c>
      <c r="J2" s="2193"/>
      <c r="K2" s="2193"/>
      <c r="L2" s="2193"/>
      <c r="M2" s="2193"/>
      <c r="N2" s="2193"/>
      <c r="O2" s="2193"/>
      <c r="P2" s="2193"/>
      <c r="Q2" s="2253" t="s">
        <v>2768</v>
      </c>
      <c r="R2" s="2192"/>
      <c r="S2" s="2192"/>
      <c r="T2" s="2192"/>
      <c r="U2" s="2192"/>
      <c r="V2" s="2192"/>
      <c r="W2" s="2192"/>
      <c r="X2" s="2192"/>
      <c r="Y2" s="2254"/>
    </row>
    <row r="3" spans="1:25" s="1862" customFormat="1" ht="30" customHeight="1">
      <c r="A3" s="1864"/>
      <c r="B3" s="1864"/>
      <c r="C3" s="1864"/>
      <c r="D3" s="2249" t="s">
        <v>1597</v>
      </c>
      <c r="E3" s="2249"/>
      <c r="F3" s="2249"/>
      <c r="G3" s="2249"/>
      <c r="H3" s="2249"/>
      <c r="I3" s="1864"/>
      <c r="J3" s="1864"/>
      <c r="K3" s="1864"/>
      <c r="L3" s="2249" t="s">
        <v>1596</v>
      </c>
      <c r="M3" s="2249"/>
      <c r="N3" s="2249"/>
      <c r="O3" s="2249"/>
      <c r="P3" s="2249"/>
      <c r="Q3" s="444"/>
      <c r="R3" s="1864"/>
      <c r="T3" s="2250" t="s">
        <v>1595</v>
      </c>
      <c r="U3" s="2250"/>
      <c r="V3" s="2250"/>
      <c r="W3" s="2250"/>
      <c r="X3" s="2250"/>
      <c r="Y3" s="2251"/>
    </row>
    <row r="4" spans="1:25" s="87" customFormat="1" ht="140.25" customHeight="1">
      <c r="A4" s="1859" t="s">
        <v>520</v>
      </c>
      <c r="B4" s="758" t="s">
        <v>1584</v>
      </c>
      <c r="C4" s="1859" t="s">
        <v>1594</v>
      </c>
      <c r="D4" s="1859" t="s">
        <v>1593</v>
      </c>
      <c r="E4" s="1859" t="s">
        <v>1592</v>
      </c>
      <c r="F4" s="758" t="s">
        <v>1591</v>
      </c>
      <c r="G4" s="1859" t="s">
        <v>1590</v>
      </c>
      <c r="H4" s="1865" t="s">
        <v>1589</v>
      </c>
      <c r="I4" s="1859" t="s">
        <v>520</v>
      </c>
      <c r="J4" s="758" t="s">
        <v>1584</v>
      </c>
      <c r="K4" s="1859" t="s">
        <v>1594</v>
      </c>
      <c r="L4" s="1859" t="s">
        <v>1593</v>
      </c>
      <c r="M4" s="1859" t="s">
        <v>1592</v>
      </c>
      <c r="N4" s="758" t="s">
        <v>1591</v>
      </c>
      <c r="O4" s="1859" t="s">
        <v>1590</v>
      </c>
      <c r="P4" s="809" t="s">
        <v>1589</v>
      </c>
      <c r="Q4" s="1858" t="s">
        <v>686</v>
      </c>
      <c r="R4" s="757" t="s">
        <v>1341</v>
      </c>
      <c r="S4" s="1703" t="s">
        <v>1588</v>
      </c>
      <c r="T4" s="1704" t="s">
        <v>1587</v>
      </c>
      <c r="U4" s="1704" t="s">
        <v>1586</v>
      </c>
      <c r="V4" s="1704" t="s">
        <v>1585</v>
      </c>
      <c r="W4" s="1704" t="s">
        <v>2837</v>
      </c>
      <c r="X4" s="1704" t="s">
        <v>2838</v>
      </c>
      <c r="Y4" s="1857" t="s">
        <v>1584</v>
      </c>
    </row>
    <row r="5" spans="1:25" s="1862" customFormat="1" ht="16.5" customHeight="1">
      <c r="A5" s="92">
        <v>1</v>
      </c>
      <c r="B5" s="12" t="s">
        <v>14</v>
      </c>
      <c r="C5" s="737">
        <v>13763.382</v>
      </c>
      <c r="D5" s="737">
        <v>18747.333999999999</v>
      </c>
      <c r="E5" s="737">
        <f t="shared" ref="E5:E38" si="0">C5+D5</f>
        <v>32510.716</v>
      </c>
      <c r="F5" s="12">
        <v>4899</v>
      </c>
      <c r="G5" s="808">
        <f t="shared" ref="G5:G38" si="1">E5+F5</f>
        <v>37409.716</v>
      </c>
      <c r="H5" s="5" t="s">
        <v>144</v>
      </c>
      <c r="I5" s="92">
        <v>1</v>
      </c>
      <c r="J5" s="12" t="s">
        <v>14</v>
      </c>
      <c r="K5" s="804">
        <v>15128.83</v>
      </c>
      <c r="L5" s="804">
        <v>22074.04</v>
      </c>
      <c r="M5" s="804">
        <f t="shared" ref="M5:M38" si="2">K5+L5</f>
        <v>37202.870000000003</v>
      </c>
      <c r="N5" s="804">
        <v>4899</v>
      </c>
      <c r="O5" s="738">
        <v>42101.87</v>
      </c>
      <c r="P5" s="105" t="s">
        <v>144</v>
      </c>
      <c r="Q5" s="1860">
        <v>1</v>
      </c>
      <c r="R5" s="25" t="s">
        <v>144</v>
      </c>
      <c r="S5" s="799">
        <v>22343.07</v>
      </c>
      <c r="T5" s="127">
        <v>14458.29</v>
      </c>
      <c r="U5" s="127">
        <v>36801.360000000001</v>
      </c>
      <c r="V5" s="127"/>
      <c r="W5" s="127">
        <f t="shared" ref="W5:W33" si="3">U5+V5</f>
        <v>36801.360000000001</v>
      </c>
      <c r="X5" s="1866">
        <v>49638.42</v>
      </c>
      <c r="Y5" s="1350" t="s">
        <v>14</v>
      </c>
    </row>
    <row r="6" spans="1:25" s="1862" customFormat="1" ht="16.5" customHeight="1">
      <c r="A6" s="92">
        <v>2</v>
      </c>
      <c r="B6" s="12" t="s">
        <v>15</v>
      </c>
      <c r="C6" s="737">
        <v>627.15</v>
      </c>
      <c r="D6" s="737">
        <v>8619.7890000000007</v>
      </c>
      <c r="E6" s="737">
        <f t="shared" si="0"/>
        <v>9246.9390000000003</v>
      </c>
      <c r="F6" s="5"/>
      <c r="G6" s="808">
        <f t="shared" si="1"/>
        <v>9246.9390000000003</v>
      </c>
      <c r="H6" s="5" t="s">
        <v>145</v>
      </c>
      <c r="I6" s="92">
        <f t="shared" ref="I6:I38" si="4">I5+1</f>
        <v>2</v>
      </c>
      <c r="J6" s="12" t="s">
        <v>15</v>
      </c>
      <c r="K6" s="804">
        <v>147.35</v>
      </c>
      <c r="L6" s="804">
        <v>10510.31</v>
      </c>
      <c r="M6" s="804">
        <f t="shared" si="2"/>
        <v>10657.66</v>
      </c>
      <c r="N6" s="804"/>
      <c r="O6" s="738">
        <v>10657.66</v>
      </c>
      <c r="P6" s="105" t="s">
        <v>145</v>
      </c>
      <c r="Q6" s="1860">
        <f t="shared" ref="Q6:Q38" si="5">Q5+1</f>
        <v>2</v>
      </c>
      <c r="R6" s="25" t="s">
        <v>145</v>
      </c>
      <c r="S6" s="799">
        <v>265.37</v>
      </c>
      <c r="T6" s="127">
        <v>12848.74</v>
      </c>
      <c r="U6" s="127">
        <v>13114.12</v>
      </c>
      <c r="V6" s="127"/>
      <c r="W6" s="127">
        <f t="shared" si="3"/>
        <v>13114.12</v>
      </c>
      <c r="X6" s="1866">
        <v>12636.64</v>
      </c>
      <c r="Y6" s="1350" t="s">
        <v>15</v>
      </c>
    </row>
    <row r="7" spans="1:25" s="1862" customFormat="1" ht="16.5" customHeight="1">
      <c r="A7" s="92">
        <v>3</v>
      </c>
      <c r="B7" s="12" t="s">
        <v>21</v>
      </c>
      <c r="C7" s="737">
        <v>15223.471</v>
      </c>
      <c r="D7" s="737">
        <v>12951.195</v>
      </c>
      <c r="E7" s="737">
        <f t="shared" si="0"/>
        <v>28174.665999999997</v>
      </c>
      <c r="F7" s="12">
        <v>60</v>
      </c>
      <c r="G7" s="808">
        <f t="shared" si="1"/>
        <v>28234.665999999997</v>
      </c>
      <c r="H7" s="5" t="s">
        <v>146</v>
      </c>
      <c r="I7" s="92">
        <f t="shared" si="4"/>
        <v>3</v>
      </c>
      <c r="J7" s="12" t="s">
        <v>21</v>
      </c>
      <c r="K7" s="804">
        <v>15396.83</v>
      </c>
      <c r="L7" s="804">
        <v>11296.84</v>
      </c>
      <c r="M7" s="804">
        <f t="shared" si="2"/>
        <v>26693.67</v>
      </c>
      <c r="N7" s="804">
        <v>60</v>
      </c>
      <c r="O7" s="738">
        <v>26753.67</v>
      </c>
      <c r="P7" s="105" t="s">
        <v>146</v>
      </c>
      <c r="Q7" s="1860">
        <f t="shared" si="5"/>
        <v>3</v>
      </c>
      <c r="R7" s="25" t="s">
        <v>146</v>
      </c>
      <c r="S7" s="799">
        <v>6719.27</v>
      </c>
      <c r="T7" s="127">
        <v>11751.57</v>
      </c>
      <c r="U7" s="127">
        <v>18470.84</v>
      </c>
      <c r="V7" s="127"/>
      <c r="W7" s="127">
        <f t="shared" si="3"/>
        <v>18470.84</v>
      </c>
      <c r="X7" s="1866">
        <v>18102.939999999999</v>
      </c>
      <c r="Y7" s="1350" t="s">
        <v>21</v>
      </c>
    </row>
    <row r="8" spans="1:25" s="1862" customFormat="1" ht="16.5" customHeight="1">
      <c r="A8" s="92">
        <v>4</v>
      </c>
      <c r="B8" s="12" t="s">
        <v>22</v>
      </c>
      <c r="C8" s="737">
        <v>1.2</v>
      </c>
      <c r="D8" s="737">
        <v>3518.306</v>
      </c>
      <c r="E8" s="737">
        <f t="shared" si="0"/>
        <v>3519.5059999999999</v>
      </c>
      <c r="F8" s="5"/>
      <c r="G8" s="808">
        <f t="shared" si="1"/>
        <v>3519.5059999999999</v>
      </c>
      <c r="H8" s="5" t="s">
        <v>147</v>
      </c>
      <c r="I8" s="92">
        <f t="shared" si="4"/>
        <v>4</v>
      </c>
      <c r="J8" s="12" t="s">
        <v>22</v>
      </c>
      <c r="K8" s="804">
        <v>1.2</v>
      </c>
      <c r="L8" s="804">
        <v>22711.35</v>
      </c>
      <c r="M8" s="804">
        <f t="shared" si="2"/>
        <v>22712.55</v>
      </c>
      <c r="N8" s="804"/>
      <c r="O8" s="738">
        <v>22712.55</v>
      </c>
      <c r="P8" s="105" t="s">
        <v>147</v>
      </c>
      <c r="Q8" s="1860">
        <f t="shared" si="5"/>
        <v>4</v>
      </c>
      <c r="R8" s="25" t="s">
        <v>147</v>
      </c>
      <c r="S8" s="799">
        <v>4.9000000000000004</v>
      </c>
      <c r="T8" s="127">
        <v>29897.64</v>
      </c>
      <c r="U8" s="127">
        <v>29902.54</v>
      </c>
      <c r="V8" s="127"/>
      <c r="W8" s="127">
        <f t="shared" si="3"/>
        <v>29902.54</v>
      </c>
      <c r="X8" s="1866">
        <v>30941.01</v>
      </c>
      <c r="Y8" s="1350" t="s">
        <v>22</v>
      </c>
    </row>
    <row r="9" spans="1:25" s="1862" customFormat="1" ht="16.5" customHeight="1">
      <c r="A9" s="92">
        <v>5</v>
      </c>
      <c r="B9" s="12" t="s">
        <v>23</v>
      </c>
      <c r="C9" s="737">
        <v>7356.5370000000003</v>
      </c>
      <c r="D9" s="737">
        <v>13869.174000000001</v>
      </c>
      <c r="E9" s="737">
        <f t="shared" si="0"/>
        <v>21225.711000000003</v>
      </c>
      <c r="F9" s="12">
        <v>184955.00099999999</v>
      </c>
      <c r="G9" s="808">
        <f t="shared" si="1"/>
        <v>206180.712</v>
      </c>
      <c r="H9" s="5" t="s">
        <v>148</v>
      </c>
      <c r="I9" s="92">
        <f t="shared" si="4"/>
        <v>5</v>
      </c>
      <c r="J9" s="12" t="s">
        <v>23</v>
      </c>
      <c r="K9" s="804">
        <v>12867.91</v>
      </c>
      <c r="L9" s="804">
        <v>9569.89</v>
      </c>
      <c r="M9" s="804">
        <f t="shared" si="2"/>
        <v>22437.8</v>
      </c>
      <c r="N9" s="804">
        <v>185955</v>
      </c>
      <c r="O9" s="738">
        <v>208392.8</v>
      </c>
      <c r="P9" s="105" t="s">
        <v>148</v>
      </c>
      <c r="Q9" s="1860">
        <f t="shared" si="5"/>
        <v>5</v>
      </c>
      <c r="R9" s="25" t="s">
        <v>148</v>
      </c>
      <c r="S9" s="799">
        <v>14744.46</v>
      </c>
      <c r="T9" s="127">
        <v>8465.06</v>
      </c>
      <c r="U9" s="127">
        <v>23209.52</v>
      </c>
      <c r="V9" s="127">
        <v>263475</v>
      </c>
      <c r="W9" s="127">
        <f t="shared" si="3"/>
        <v>286684.52</v>
      </c>
      <c r="X9" s="1866">
        <v>3008606.33</v>
      </c>
      <c r="Y9" s="1350" t="s">
        <v>23</v>
      </c>
    </row>
    <row r="10" spans="1:25" s="1862" customFormat="1" ht="16.5" customHeight="1">
      <c r="A10" s="92">
        <v>6</v>
      </c>
      <c r="B10" s="12" t="s">
        <v>1583</v>
      </c>
      <c r="C10" s="737">
        <v>0.71799999999999997</v>
      </c>
      <c r="D10" s="737">
        <v>0</v>
      </c>
      <c r="E10" s="737">
        <f t="shared" si="0"/>
        <v>0.71799999999999997</v>
      </c>
      <c r="F10" s="5"/>
      <c r="G10" s="808">
        <f t="shared" si="1"/>
        <v>0.71799999999999997</v>
      </c>
      <c r="H10" s="5" t="s">
        <v>149</v>
      </c>
      <c r="I10" s="92">
        <f t="shared" si="4"/>
        <v>6</v>
      </c>
      <c r="J10" s="12" t="s">
        <v>1583</v>
      </c>
      <c r="K10" s="804">
        <v>0.71799999999999997</v>
      </c>
      <c r="L10" s="804">
        <v>0</v>
      </c>
      <c r="M10" s="804">
        <f t="shared" si="2"/>
        <v>0.71799999999999997</v>
      </c>
      <c r="N10" s="804"/>
      <c r="O10" s="738">
        <v>0.72</v>
      </c>
      <c r="P10" s="105" t="s">
        <v>149</v>
      </c>
      <c r="Q10" s="1860">
        <f t="shared" si="5"/>
        <v>6</v>
      </c>
      <c r="R10" s="25" t="s">
        <v>149</v>
      </c>
      <c r="S10" s="799">
        <v>0.72</v>
      </c>
      <c r="T10" s="127">
        <v>4.45</v>
      </c>
      <c r="U10" s="127">
        <v>5.17</v>
      </c>
      <c r="V10" s="127"/>
      <c r="W10" s="127">
        <f t="shared" si="3"/>
        <v>5.17</v>
      </c>
      <c r="X10" s="1866">
        <v>12.95</v>
      </c>
      <c r="Y10" s="1350" t="s">
        <v>24</v>
      </c>
    </row>
    <row r="11" spans="1:25" s="1862" customFormat="1" ht="16.5" customHeight="1">
      <c r="A11" s="92">
        <v>7</v>
      </c>
      <c r="B11" s="12" t="s">
        <v>16</v>
      </c>
      <c r="C11" s="737">
        <v>10696.367</v>
      </c>
      <c r="D11" s="737">
        <v>2612.453</v>
      </c>
      <c r="E11" s="737">
        <f t="shared" si="0"/>
        <v>13308.82</v>
      </c>
      <c r="F11" s="12">
        <v>7655.98</v>
      </c>
      <c r="G11" s="808">
        <f t="shared" si="1"/>
        <v>20964.8</v>
      </c>
      <c r="H11" s="5" t="s">
        <v>150</v>
      </c>
      <c r="I11" s="92">
        <f t="shared" si="4"/>
        <v>7</v>
      </c>
      <c r="J11" s="12" t="s">
        <v>16</v>
      </c>
      <c r="K11" s="804">
        <v>9416.34</v>
      </c>
      <c r="L11" s="804">
        <v>3020.14</v>
      </c>
      <c r="M11" s="804">
        <f t="shared" si="2"/>
        <v>12436.48</v>
      </c>
      <c r="N11" s="804">
        <v>8350.18</v>
      </c>
      <c r="O11" s="738">
        <v>20786.66</v>
      </c>
      <c r="P11" s="105" t="s">
        <v>150</v>
      </c>
      <c r="Q11" s="1860">
        <f t="shared" si="5"/>
        <v>7</v>
      </c>
      <c r="R11" s="25" t="s">
        <v>150</v>
      </c>
      <c r="S11" s="799">
        <v>9243.7900000000009</v>
      </c>
      <c r="T11" s="127">
        <v>3388.53</v>
      </c>
      <c r="U11" s="127">
        <v>12632.32</v>
      </c>
      <c r="V11" s="127">
        <v>5589.84</v>
      </c>
      <c r="W11" s="127">
        <f t="shared" si="3"/>
        <v>18222.16</v>
      </c>
      <c r="X11" s="1866">
        <v>18259.72</v>
      </c>
      <c r="Y11" s="1350" t="s">
        <v>16</v>
      </c>
    </row>
    <row r="12" spans="1:25" s="1862" customFormat="1" ht="16.5" customHeight="1">
      <c r="A12" s="92">
        <v>8</v>
      </c>
      <c r="B12" s="12" t="s">
        <v>17</v>
      </c>
      <c r="C12" s="737">
        <v>60185.396000000001</v>
      </c>
      <c r="D12" s="737">
        <v>33655.883000000002</v>
      </c>
      <c r="E12" s="737">
        <f t="shared" si="0"/>
        <v>93841.27900000001</v>
      </c>
      <c r="F12" s="12">
        <v>867.41</v>
      </c>
      <c r="G12" s="808">
        <f t="shared" si="1"/>
        <v>94708.689000000013</v>
      </c>
      <c r="H12" s="5" t="s">
        <v>151</v>
      </c>
      <c r="I12" s="92">
        <f t="shared" si="4"/>
        <v>8</v>
      </c>
      <c r="J12" s="12" t="s">
        <v>17</v>
      </c>
      <c r="K12" s="804">
        <v>57642.28</v>
      </c>
      <c r="L12" s="804">
        <v>37565.300000000003</v>
      </c>
      <c r="M12" s="804">
        <f t="shared" si="2"/>
        <v>95207.58</v>
      </c>
      <c r="N12" s="804"/>
      <c r="O12" s="738">
        <v>95207.58</v>
      </c>
      <c r="P12" s="105" t="s">
        <v>151</v>
      </c>
      <c r="Q12" s="1860">
        <f t="shared" si="5"/>
        <v>8</v>
      </c>
      <c r="R12" s="25" t="s">
        <v>151</v>
      </c>
      <c r="S12" s="799">
        <v>72318.02</v>
      </c>
      <c r="T12" s="127">
        <v>75548.39</v>
      </c>
      <c r="U12" s="127">
        <v>147866.41</v>
      </c>
      <c r="V12" s="127"/>
      <c r="W12" s="127">
        <f t="shared" si="3"/>
        <v>147866.41</v>
      </c>
      <c r="X12" s="1866">
        <v>602248.5</v>
      </c>
      <c r="Y12" s="1350" t="s">
        <v>17</v>
      </c>
    </row>
    <row r="13" spans="1:25" s="1862" customFormat="1" ht="16.5" customHeight="1">
      <c r="A13" s="92">
        <v>9</v>
      </c>
      <c r="B13" s="12" t="s">
        <v>25</v>
      </c>
      <c r="C13" s="737">
        <v>2291.8510000000001</v>
      </c>
      <c r="D13" s="737">
        <v>3686.63</v>
      </c>
      <c r="E13" s="737">
        <f t="shared" si="0"/>
        <v>5978.4809999999998</v>
      </c>
      <c r="F13" s="12">
        <v>20.100000000000001</v>
      </c>
      <c r="G13" s="808">
        <f t="shared" si="1"/>
        <v>5998.5810000000001</v>
      </c>
      <c r="H13" s="5" t="s">
        <v>152</v>
      </c>
      <c r="I13" s="92">
        <f t="shared" si="4"/>
        <v>9</v>
      </c>
      <c r="J13" s="12" t="s">
        <v>25</v>
      </c>
      <c r="K13" s="804">
        <v>3067.17</v>
      </c>
      <c r="L13" s="804">
        <v>3088.58</v>
      </c>
      <c r="M13" s="804">
        <f t="shared" si="2"/>
        <v>6155.75</v>
      </c>
      <c r="N13" s="804"/>
      <c r="O13" s="738">
        <v>6155.75</v>
      </c>
      <c r="P13" s="105" t="s">
        <v>152</v>
      </c>
      <c r="Q13" s="1860">
        <f t="shared" si="5"/>
        <v>9</v>
      </c>
      <c r="R13" s="25" t="s">
        <v>152</v>
      </c>
      <c r="S13" s="799">
        <v>3345.85</v>
      </c>
      <c r="T13" s="127">
        <v>1557.22</v>
      </c>
      <c r="U13" s="127">
        <v>4903.0600000000004</v>
      </c>
      <c r="V13" s="127"/>
      <c r="W13" s="127">
        <f t="shared" si="3"/>
        <v>4903.0600000000004</v>
      </c>
      <c r="X13" s="1866">
        <v>3198.95</v>
      </c>
      <c r="Y13" s="1350" t="s">
        <v>25</v>
      </c>
    </row>
    <row r="14" spans="1:25" s="1862" customFormat="1" ht="16.5" customHeight="1">
      <c r="A14" s="92">
        <v>10</v>
      </c>
      <c r="B14" s="12" t="s">
        <v>5</v>
      </c>
      <c r="C14" s="737">
        <v>8527.1309999999994</v>
      </c>
      <c r="D14" s="737">
        <v>4537.9009999999998</v>
      </c>
      <c r="E14" s="737">
        <f t="shared" si="0"/>
        <v>13065.031999999999</v>
      </c>
      <c r="F14" s="12">
        <v>190782.47</v>
      </c>
      <c r="G14" s="808">
        <f t="shared" si="1"/>
        <v>203847.50200000001</v>
      </c>
      <c r="H14" s="5" t="s">
        <v>153</v>
      </c>
      <c r="I14" s="92">
        <f t="shared" si="4"/>
        <v>10</v>
      </c>
      <c r="J14" s="12" t="s">
        <v>5</v>
      </c>
      <c r="K14" s="804">
        <v>8704.4</v>
      </c>
      <c r="L14" s="804">
        <v>3349.48</v>
      </c>
      <c r="M14" s="804">
        <f t="shared" si="2"/>
        <v>12053.88</v>
      </c>
      <c r="N14" s="804">
        <v>192782.47</v>
      </c>
      <c r="O14" s="738">
        <v>204836.35</v>
      </c>
      <c r="P14" s="105" t="s">
        <v>153</v>
      </c>
      <c r="Q14" s="1860">
        <f t="shared" si="5"/>
        <v>10</v>
      </c>
      <c r="R14" s="25" t="s">
        <v>153</v>
      </c>
      <c r="S14" s="799">
        <v>9108.8700000000008</v>
      </c>
      <c r="T14" s="127">
        <v>2745.12</v>
      </c>
      <c r="U14" s="127">
        <v>11854</v>
      </c>
      <c r="V14" s="127">
        <v>191882.47</v>
      </c>
      <c r="W14" s="127">
        <f t="shared" si="3"/>
        <v>203736.47</v>
      </c>
      <c r="X14" s="1866">
        <v>203043.02</v>
      </c>
      <c r="Y14" s="1350" t="s">
        <v>5</v>
      </c>
    </row>
    <row r="15" spans="1:25" s="1862" customFormat="1" ht="16.5" customHeight="1">
      <c r="A15" s="92">
        <v>11</v>
      </c>
      <c r="B15" s="12" t="s">
        <v>26</v>
      </c>
      <c r="C15" s="737">
        <v>17558.755000000001</v>
      </c>
      <c r="D15" s="737">
        <v>7444.13</v>
      </c>
      <c r="E15" s="737">
        <f t="shared" si="0"/>
        <v>25002.885000000002</v>
      </c>
      <c r="F15" s="12">
        <v>162000</v>
      </c>
      <c r="G15" s="808">
        <f t="shared" si="1"/>
        <v>187002.88500000001</v>
      </c>
      <c r="H15" s="5" t="s">
        <v>154</v>
      </c>
      <c r="I15" s="92">
        <f t="shared" si="4"/>
        <v>11</v>
      </c>
      <c r="J15" s="12" t="s">
        <v>27</v>
      </c>
      <c r="K15" s="804">
        <v>1.06</v>
      </c>
      <c r="L15" s="804">
        <v>25853.119999999999</v>
      </c>
      <c r="M15" s="804">
        <f t="shared" si="2"/>
        <v>25854.18</v>
      </c>
      <c r="N15" s="804">
        <v>38400</v>
      </c>
      <c r="O15" s="738">
        <v>64254.18</v>
      </c>
      <c r="P15" s="105" t="s">
        <v>155</v>
      </c>
      <c r="Q15" s="1860">
        <f t="shared" si="5"/>
        <v>11</v>
      </c>
      <c r="R15" s="25" t="s">
        <v>155</v>
      </c>
      <c r="S15" s="799">
        <v>0</v>
      </c>
      <c r="T15" s="127">
        <v>53261.7</v>
      </c>
      <c r="U15" s="127">
        <v>53261.7</v>
      </c>
      <c r="V15" s="127">
        <v>28400</v>
      </c>
      <c r="W15" s="127">
        <f t="shared" si="3"/>
        <v>81661.7</v>
      </c>
      <c r="X15" s="1866">
        <v>58970.14</v>
      </c>
      <c r="Y15" s="1350" t="s">
        <v>27</v>
      </c>
    </row>
    <row r="16" spans="1:25" s="1862" customFormat="1" ht="16.5" customHeight="1">
      <c r="A16" s="92">
        <v>12</v>
      </c>
      <c r="B16" s="12" t="s">
        <v>27</v>
      </c>
      <c r="C16" s="737">
        <v>2977.1680000000001</v>
      </c>
      <c r="D16" s="737">
        <v>21339.704000000002</v>
      </c>
      <c r="E16" s="737">
        <f t="shared" si="0"/>
        <v>24316.872000000003</v>
      </c>
      <c r="F16" s="12">
        <v>33800</v>
      </c>
      <c r="G16" s="808">
        <f t="shared" si="1"/>
        <v>58116.872000000003</v>
      </c>
      <c r="H16" s="5" t="s">
        <v>155</v>
      </c>
      <c r="I16" s="92">
        <f t="shared" si="4"/>
        <v>12</v>
      </c>
      <c r="J16" s="12" t="s">
        <v>28</v>
      </c>
      <c r="K16" s="804">
        <v>60124.83</v>
      </c>
      <c r="L16" s="804">
        <v>20940.400000000001</v>
      </c>
      <c r="M16" s="804">
        <f t="shared" si="2"/>
        <v>81065.23000000001</v>
      </c>
      <c r="N16" s="804">
        <v>89353.26</v>
      </c>
      <c r="O16" s="738">
        <v>170418.49</v>
      </c>
      <c r="P16" s="105" t="s">
        <v>156</v>
      </c>
      <c r="Q16" s="1860">
        <f t="shared" si="5"/>
        <v>12</v>
      </c>
      <c r="R16" s="25" t="s">
        <v>156</v>
      </c>
      <c r="S16" s="799">
        <v>61115.97</v>
      </c>
      <c r="T16" s="127">
        <v>33934.11</v>
      </c>
      <c r="U16" s="127">
        <v>95050.08</v>
      </c>
      <c r="V16" s="127">
        <v>79373.48</v>
      </c>
      <c r="W16" s="127">
        <f t="shared" si="3"/>
        <v>174423.56</v>
      </c>
      <c r="X16" s="1866">
        <v>110703.45</v>
      </c>
      <c r="Y16" s="1350" t="s">
        <v>28</v>
      </c>
    </row>
    <row r="17" spans="1:25" s="1862" customFormat="1" ht="16.5" customHeight="1">
      <c r="A17" s="92">
        <v>13</v>
      </c>
      <c r="B17" s="12" t="s">
        <v>28</v>
      </c>
      <c r="C17" s="737">
        <v>57018.082999999999</v>
      </c>
      <c r="D17" s="737">
        <v>26080.699000000001</v>
      </c>
      <c r="E17" s="737">
        <f t="shared" si="0"/>
        <v>83098.782000000007</v>
      </c>
      <c r="F17" s="12">
        <v>21863.59</v>
      </c>
      <c r="G17" s="808">
        <f t="shared" si="1"/>
        <v>104962.372</v>
      </c>
      <c r="H17" s="5" t="s">
        <v>156</v>
      </c>
      <c r="I17" s="92">
        <f t="shared" si="4"/>
        <v>13</v>
      </c>
      <c r="J17" s="12" t="s">
        <v>6</v>
      </c>
      <c r="K17" s="804">
        <v>21466.15</v>
      </c>
      <c r="L17" s="804">
        <v>20314.34</v>
      </c>
      <c r="M17" s="804">
        <f t="shared" si="2"/>
        <v>41780.490000000005</v>
      </c>
      <c r="N17" s="804">
        <v>5794.8</v>
      </c>
      <c r="O17" s="738">
        <v>47575.29</v>
      </c>
      <c r="P17" s="105" t="s">
        <v>157</v>
      </c>
      <c r="Q17" s="1860">
        <f t="shared" si="5"/>
        <v>13</v>
      </c>
      <c r="R17" s="25" t="s">
        <v>157</v>
      </c>
      <c r="S17" s="799">
        <v>25656.6</v>
      </c>
      <c r="T17" s="127">
        <v>19413.78</v>
      </c>
      <c r="U17" s="127">
        <v>45070.38</v>
      </c>
      <c r="V17" s="127">
        <v>3293.8</v>
      </c>
      <c r="W17" s="127">
        <f t="shared" si="3"/>
        <v>48364.18</v>
      </c>
      <c r="X17" s="1866">
        <v>43681.54</v>
      </c>
      <c r="Y17" s="1350" t="s">
        <v>6</v>
      </c>
    </row>
    <row r="18" spans="1:25" s="1862" customFormat="1" ht="16.5" customHeight="1">
      <c r="A18" s="92">
        <v>14</v>
      </c>
      <c r="B18" s="12" t="s">
        <v>6</v>
      </c>
      <c r="C18" s="737">
        <v>19232.892</v>
      </c>
      <c r="D18" s="737">
        <v>19171.344000000001</v>
      </c>
      <c r="E18" s="737">
        <f t="shared" si="0"/>
        <v>38404.236000000004</v>
      </c>
      <c r="F18" s="12">
        <v>2507</v>
      </c>
      <c r="G18" s="808">
        <f t="shared" si="1"/>
        <v>40911.236000000004</v>
      </c>
      <c r="H18" s="5" t="s">
        <v>157</v>
      </c>
      <c r="I18" s="92">
        <f t="shared" si="4"/>
        <v>14</v>
      </c>
      <c r="J18" s="12" t="s">
        <v>18</v>
      </c>
      <c r="K18" s="804">
        <v>473522.47</v>
      </c>
      <c r="L18" s="804">
        <v>419373.94</v>
      </c>
      <c r="M18" s="804">
        <f t="shared" si="2"/>
        <v>892896.40999999992</v>
      </c>
      <c r="N18" s="804">
        <v>268118.62</v>
      </c>
      <c r="O18" s="738">
        <v>1161015.03</v>
      </c>
      <c r="P18" s="105" t="s">
        <v>158</v>
      </c>
      <c r="Q18" s="1860">
        <f t="shared" si="5"/>
        <v>14</v>
      </c>
      <c r="R18" s="25" t="s">
        <v>158</v>
      </c>
      <c r="S18" s="799">
        <v>540993.98</v>
      </c>
      <c r="T18" s="127">
        <v>479024</v>
      </c>
      <c r="U18" s="127">
        <v>1020017.98</v>
      </c>
      <c r="V18" s="127">
        <v>617712.48</v>
      </c>
      <c r="W18" s="127">
        <f t="shared" si="3"/>
        <v>1637730.46</v>
      </c>
      <c r="X18" s="1866">
        <v>2370593.41</v>
      </c>
      <c r="Y18" s="1350" t="s">
        <v>18</v>
      </c>
    </row>
    <row r="19" spans="1:25" s="1862" customFormat="1" ht="16.5" customHeight="1">
      <c r="A19" s="92">
        <v>15</v>
      </c>
      <c r="B19" s="12" t="s">
        <v>18</v>
      </c>
      <c r="C19" s="737">
        <v>379996.68400000001</v>
      </c>
      <c r="D19" s="737">
        <v>294055.16600000003</v>
      </c>
      <c r="E19" s="737">
        <f t="shared" si="0"/>
        <v>674051.85000000009</v>
      </c>
      <c r="F19" s="12">
        <v>244251.23300000001</v>
      </c>
      <c r="G19" s="808">
        <f t="shared" si="1"/>
        <v>918303.0830000001</v>
      </c>
      <c r="H19" s="5" t="s">
        <v>158</v>
      </c>
      <c r="I19" s="92">
        <f t="shared" si="4"/>
        <v>15</v>
      </c>
      <c r="J19" s="12" t="s">
        <v>29</v>
      </c>
      <c r="K19" s="804">
        <v>205216.28</v>
      </c>
      <c r="L19" s="804">
        <v>77280.039999999994</v>
      </c>
      <c r="M19" s="804">
        <f t="shared" si="2"/>
        <v>282496.32</v>
      </c>
      <c r="N19" s="804">
        <v>10638.87</v>
      </c>
      <c r="O19" s="738">
        <v>293135.19</v>
      </c>
      <c r="P19" s="105" t="s">
        <v>159</v>
      </c>
      <c r="Q19" s="1860">
        <f t="shared" si="5"/>
        <v>15</v>
      </c>
      <c r="R19" s="25" t="s">
        <v>159</v>
      </c>
      <c r="S19" s="799">
        <v>219659.41</v>
      </c>
      <c r="T19" s="127">
        <v>152063.21</v>
      </c>
      <c r="U19" s="127">
        <v>371722.62</v>
      </c>
      <c r="V19" s="127">
        <v>75.66</v>
      </c>
      <c r="W19" s="127">
        <f t="shared" si="3"/>
        <v>371798.27999999997</v>
      </c>
      <c r="X19" s="1866">
        <v>1133668.57</v>
      </c>
      <c r="Y19" s="1350" t="s">
        <v>29</v>
      </c>
    </row>
    <row r="20" spans="1:25" s="1862" customFormat="1" ht="16.5" customHeight="1">
      <c r="A20" s="92">
        <v>16</v>
      </c>
      <c r="B20" s="12" t="s">
        <v>29</v>
      </c>
      <c r="C20" s="737">
        <v>158097.13699999999</v>
      </c>
      <c r="D20" s="737">
        <v>92837.192999999999</v>
      </c>
      <c r="E20" s="737">
        <f t="shared" si="0"/>
        <v>250934.33</v>
      </c>
      <c r="F20" s="12">
        <v>10637.41</v>
      </c>
      <c r="G20" s="808">
        <f t="shared" si="1"/>
        <v>261571.74</v>
      </c>
      <c r="H20" s="5" t="s">
        <v>159</v>
      </c>
      <c r="I20" s="92">
        <f t="shared" si="4"/>
        <v>16</v>
      </c>
      <c r="J20" s="12" t="s">
        <v>19</v>
      </c>
      <c r="K20" s="804">
        <v>3241.4</v>
      </c>
      <c r="L20" s="804">
        <v>9748.67</v>
      </c>
      <c r="M20" s="804">
        <f t="shared" si="2"/>
        <v>12990.07</v>
      </c>
      <c r="N20" s="804">
        <v>2000</v>
      </c>
      <c r="O20" s="738">
        <v>14990.07</v>
      </c>
      <c r="P20" s="105" t="s">
        <v>160</v>
      </c>
      <c r="Q20" s="1860">
        <f t="shared" si="5"/>
        <v>16</v>
      </c>
      <c r="R20" s="25" t="s">
        <v>160</v>
      </c>
      <c r="S20" s="799">
        <v>4419.25</v>
      </c>
      <c r="T20" s="127">
        <v>8305.67</v>
      </c>
      <c r="U20" s="127">
        <v>12724.92</v>
      </c>
      <c r="V20" s="127">
        <v>2000</v>
      </c>
      <c r="W20" s="127">
        <f t="shared" si="3"/>
        <v>14724.92</v>
      </c>
      <c r="X20" s="1866">
        <v>14628.42</v>
      </c>
      <c r="Y20" s="1350" t="s">
        <v>19</v>
      </c>
    </row>
    <row r="21" spans="1:25" s="1862" customFormat="1" ht="16.5" customHeight="1">
      <c r="A21" s="92">
        <v>17</v>
      </c>
      <c r="B21" s="12" t="s">
        <v>19</v>
      </c>
      <c r="C21" s="737">
        <v>241.4</v>
      </c>
      <c r="D21" s="737">
        <v>5219.42</v>
      </c>
      <c r="E21" s="737">
        <f t="shared" si="0"/>
        <v>5460.82</v>
      </c>
      <c r="F21" s="12">
        <v>2000</v>
      </c>
      <c r="G21" s="808">
        <f t="shared" si="1"/>
        <v>7460.82</v>
      </c>
      <c r="H21" s="5" t="s">
        <v>160</v>
      </c>
      <c r="I21" s="92">
        <f t="shared" si="4"/>
        <v>17</v>
      </c>
      <c r="J21" s="12" t="s">
        <v>8</v>
      </c>
      <c r="K21" s="804">
        <v>24732.959999999999</v>
      </c>
      <c r="L21" s="804">
        <v>20649.439999999999</v>
      </c>
      <c r="M21" s="804">
        <f t="shared" si="2"/>
        <v>45382.399999999994</v>
      </c>
      <c r="N21" s="804"/>
      <c r="O21" s="738">
        <v>45382.400000000001</v>
      </c>
      <c r="P21" s="105" t="s">
        <v>161</v>
      </c>
      <c r="Q21" s="1860">
        <f t="shared" si="5"/>
        <v>17</v>
      </c>
      <c r="R21" s="25" t="s">
        <v>161</v>
      </c>
      <c r="S21" s="799">
        <v>34816.300000000003</v>
      </c>
      <c r="T21" s="127">
        <v>3560.09</v>
      </c>
      <c r="U21" s="127">
        <v>38376.39</v>
      </c>
      <c r="V21" s="127"/>
      <c r="W21" s="127">
        <f t="shared" si="3"/>
        <v>38376.39</v>
      </c>
      <c r="X21" s="1866">
        <v>27508.74</v>
      </c>
      <c r="Y21" s="1350" t="s">
        <v>8</v>
      </c>
    </row>
    <row r="22" spans="1:25" s="1862" customFormat="1" ht="16.5" customHeight="1">
      <c r="A22" s="92">
        <v>18</v>
      </c>
      <c r="B22" s="12" t="s">
        <v>8</v>
      </c>
      <c r="C22" s="737">
        <v>1612.692</v>
      </c>
      <c r="D22" s="737">
        <v>46797.048999999999</v>
      </c>
      <c r="E22" s="737">
        <f t="shared" si="0"/>
        <v>48409.741000000002</v>
      </c>
      <c r="F22" s="5"/>
      <c r="G22" s="808">
        <f t="shared" si="1"/>
        <v>48409.741000000002</v>
      </c>
      <c r="H22" s="5" t="s">
        <v>161</v>
      </c>
      <c r="I22" s="92">
        <f t="shared" si="4"/>
        <v>18</v>
      </c>
      <c r="J22" s="12" t="s">
        <v>30</v>
      </c>
      <c r="K22" s="804">
        <v>40.450000000000003</v>
      </c>
      <c r="L22" s="804">
        <v>9989.44</v>
      </c>
      <c r="M22" s="804">
        <f t="shared" si="2"/>
        <v>10029.890000000001</v>
      </c>
      <c r="N22" s="804"/>
      <c r="O22" s="738">
        <v>10029.89</v>
      </c>
      <c r="P22" s="105" t="s">
        <v>162</v>
      </c>
      <c r="Q22" s="1860">
        <f t="shared" si="5"/>
        <v>18</v>
      </c>
      <c r="R22" s="25" t="s">
        <v>162</v>
      </c>
      <c r="S22" s="799">
        <v>40.450000000000003</v>
      </c>
      <c r="T22" s="127">
        <v>12998.44</v>
      </c>
      <c r="U22" s="127">
        <v>13038.89</v>
      </c>
      <c r="V22" s="127"/>
      <c r="W22" s="127">
        <f t="shared" si="3"/>
        <v>13038.89</v>
      </c>
      <c r="X22" s="1866">
        <v>19038.89</v>
      </c>
      <c r="Y22" s="1350" t="s">
        <v>30</v>
      </c>
    </row>
    <row r="23" spans="1:25" s="1862" customFormat="1" ht="16.5" customHeight="1">
      <c r="A23" s="92">
        <v>19</v>
      </c>
      <c r="B23" s="12" t="s">
        <v>30</v>
      </c>
      <c r="C23" s="737">
        <v>0</v>
      </c>
      <c r="D23" s="737">
        <v>7039.89</v>
      </c>
      <c r="E23" s="737">
        <f t="shared" si="0"/>
        <v>7039.89</v>
      </c>
      <c r="F23" s="5"/>
      <c r="G23" s="808">
        <f t="shared" si="1"/>
        <v>7039.89</v>
      </c>
      <c r="H23" s="5" t="s">
        <v>162</v>
      </c>
      <c r="I23" s="92">
        <f t="shared" si="4"/>
        <v>19</v>
      </c>
      <c r="J23" s="12" t="s">
        <v>31</v>
      </c>
      <c r="K23" s="804">
        <v>1901.42</v>
      </c>
      <c r="L23" s="804">
        <v>12353.55</v>
      </c>
      <c r="M23" s="804">
        <f t="shared" si="2"/>
        <v>14254.97</v>
      </c>
      <c r="N23" s="804"/>
      <c r="O23" s="738">
        <v>14254.97</v>
      </c>
      <c r="P23" s="105" t="s">
        <v>163</v>
      </c>
      <c r="Q23" s="1860">
        <f t="shared" si="5"/>
        <v>19</v>
      </c>
      <c r="R23" s="25" t="s">
        <v>163</v>
      </c>
      <c r="S23" s="799">
        <v>7384.96</v>
      </c>
      <c r="T23" s="127">
        <v>7405.42</v>
      </c>
      <c r="U23" s="127">
        <v>14790.38</v>
      </c>
      <c r="V23" s="127"/>
      <c r="W23" s="127">
        <f t="shared" si="3"/>
        <v>14790.38</v>
      </c>
      <c r="X23" s="1866">
        <v>14269.27</v>
      </c>
      <c r="Y23" s="1350" t="s">
        <v>31</v>
      </c>
    </row>
    <row r="24" spans="1:25" s="1862" customFormat="1" ht="16.5" customHeight="1">
      <c r="A24" s="92">
        <v>20</v>
      </c>
      <c r="B24" s="12" t="s">
        <v>31</v>
      </c>
      <c r="C24" s="737">
        <v>2751.174</v>
      </c>
      <c r="D24" s="737">
        <v>5517.3860000000004</v>
      </c>
      <c r="E24" s="737">
        <f t="shared" si="0"/>
        <v>8268.5600000000013</v>
      </c>
      <c r="F24" s="5"/>
      <c r="G24" s="808">
        <f t="shared" si="1"/>
        <v>8268.5600000000013</v>
      </c>
      <c r="H24" s="5" t="s">
        <v>163</v>
      </c>
      <c r="I24" s="92">
        <f t="shared" si="4"/>
        <v>20</v>
      </c>
      <c r="J24" s="12" t="s">
        <v>9</v>
      </c>
      <c r="K24" s="804">
        <v>76424.58</v>
      </c>
      <c r="L24" s="804">
        <v>11753.03</v>
      </c>
      <c r="M24" s="804">
        <f t="shared" si="2"/>
        <v>88177.61</v>
      </c>
      <c r="N24" s="804">
        <v>27499.07</v>
      </c>
      <c r="O24" s="738">
        <v>115676.68</v>
      </c>
      <c r="P24" s="105" t="s">
        <v>164</v>
      </c>
      <c r="Q24" s="1860">
        <f t="shared" si="5"/>
        <v>20</v>
      </c>
      <c r="R24" s="25" t="s">
        <v>164</v>
      </c>
      <c r="S24" s="799">
        <v>78148</v>
      </c>
      <c r="T24" s="127">
        <v>14546.81</v>
      </c>
      <c r="U24" s="127">
        <v>92694.81</v>
      </c>
      <c r="V24" s="127">
        <v>3612.07</v>
      </c>
      <c r="W24" s="127">
        <f t="shared" si="3"/>
        <v>96306.880000000005</v>
      </c>
      <c r="X24" s="1866">
        <v>184034.35</v>
      </c>
      <c r="Y24" s="1350" t="s">
        <v>9</v>
      </c>
    </row>
    <row r="25" spans="1:25" s="1862" customFormat="1" ht="16.5" customHeight="1">
      <c r="A25" s="92">
        <v>21</v>
      </c>
      <c r="B25" s="12" t="s">
        <v>9</v>
      </c>
      <c r="C25" s="737">
        <v>73124.095000000001</v>
      </c>
      <c r="D25" s="737">
        <v>22615.607</v>
      </c>
      <c r="E25" s="737">
        <f t="shared" si="0"/>
        <v>95739.702000000005</v>
      </c>
      <c r="F25" s="12">
        <v>32112.067999999999</v>
      </c>
      <c r="G25" s="808">
        <f t="shared" si="1"/>
        <v>127851.77</v>
      </c>
      <c r="H25" s="5" t="s">
        <v>164</v>
      </c>
      <c r="I25" s="92">
        <f t="shared" si="4"/>
        <v>21</v>
      </c>
      <c r="J25" s="12" t="s">
        <v>32</v>
      </c>
      <c r="K25" s="804">
        <f>9021.951-L25</f>
        <v>519.3809999999994</v>
      </c>
      <c r="L25" s="804">
        <v>8502.57</v>
      </c>
      <c r="M25" s="804">
        <f t="shared" si="2"/>
        <v>9021.9509999999991</v>
      </c>
      <c r="N25" s="804">
        <v>16616</v>
      </c>
      <c r="O25" s="738">
        <v>25637.95</v>
      </c>
      <c r="P25" s="105" t="s">
        <v>165</v>
      </c>
      <c r="Q25" s="1860">
        <f t="shared" si="5"/>
        <v>21</v>
      </c>
      <c r="R25" s="25" t="s">
        <v>165</v>
      </c>
      <c r="S25" s="799">
        <v>879.87</v>
      </c>
      <c r="T25" s="127">
        <v>1141.6300000000001</v>
      </c>
      <c r="U25" s="127">
        <v>2021.5</v>
      </c>
      <c r="V25" s="127">
        <v>16616</v>
      </c>
      <c r="W25" s="127">
        <f t="shared" si="3"/>
        <v>18637.5</v>
      </c>
      <c r="X25" s="1866">
        <v>24180.6</v>
      </c>
      <c r="Y25" s="1350" t="s">
        <v>32</v>
      </c>
    </row>
    <row r="26" spans="1:25" s="1862" customFormat="1" ht="16.5" customHeight="1">
      <c r="A26" s="92">
        <v>22</v>
      </c>
      <c r="B26" s="12" t="s">
        <v>32</v>
      </c>
      <c r="C26" s="737">
        <v>317.75099999999998</v>
      </c>
      <c r="D26" s="737">
        <v>8590.8379999999997</v>
      </c>
      <c r="E26" s="737">
        <f t="shared" si="0"/>
        <v>8908.5889999999999</v>
      </c>
      <c r="F26" s="12">
        <v>16616</v>
      </c>
      <c r="G26" s="808">
        <f t="shared" si="1"/>
        <v>25524.589</v>
      </c>
      <c r="H26" s="5" t="s">
        <v>165</v>
      </c>
      <c r="I26" s="92">
        <f t="shared" si="4"/>
        <v>22</v>
      </c>
      <c r="J26" s="12" t="s">
        <v>33</v>
      </c>
      <c r="K26" s="804">
        <v>160850.23000000001</v>
      </c>
      <c r="L26" s="804">
        <v>126728.26</v>
      </c>
      <c r="M26" s="804">
        <f t="shared" si="2"/>
        <v>287578.49</v>
      </c>
      <c r="N26" s="804">
        <v>251667.32</v>
      </c>
      <c r="O26" s="738">
        <v>539245.81000000006</v>
      </c>
      <c r="P26" s="105" t="s">
        <v>166</v>
      </c>
      <c r="Q26" s="1860">
        <f t="shared" si="5"/>
        <v>22</v>
      </c>
      <c r="R26" s="25" t="s">
        <v>166</v>
      </c>
      <c r="S26" s="799">
        <v>177599.56</v>
      </c>
      <c r="T26" s="127">
        <v>121086.74</v>
      </c>
      <c r="U26" s="127">
        <v>298686.28999999998</v>
      </c>
      <c r="V26" s="127">
        <v>183176.09</v>
      </c>
      <c r="W26" s="127">
        <f t="shared" si="3"/>
        <v>481862.38</v>
      </c>
      <c r="X26" s="1866">
        <v>686420.61</v>
      </c>
      <c r="Y26" s="1350" t="s">
        <v>33</v>
      </c>
    </row>
    <row r="27" spans="1:25" s="1862" customFormat="1" ht="16.5" customHeight="1">
      <c r="A27" s="92">
        <v>23</v>
      </c>
      <c r="B27" s="12" t="s">
        <v>33</v>
      </c>
      <c r="C27" s="737">
        <v>110240.213</v>
      </c>
      <c r="D27" s="737">
        <v>113751.254</v>
      </c>
      <c r="E27" s="737">
        <f t="shared" si="0"/>
        <v>223991.467</v>
      </c>
      <c r="F27" s="12">
        <v>408709.76</v>
      </c>
      <c r="G27" s="808">
        <f t="shared" si="1"/>
        <v>632701.22699999996</v>
      </c>
      <c r="H27" s="5" t="s">
        <v>166</v>
      </c>
      <c r="I27" s="92">
        <f t="shared" si="4"/>
        <v>23</v>
      </c>
      <c r="J27" s="12" t="s">
        <v>20</v>
      </c>
      <c r="K27" s="804">
        <v>73402.97</v>
      </c>
      <c r="L27" s="804">
        <v>2314.6799999999998</v>
      </c>
      <c r="M27" s="804">
        <f t="shared" si="2"/>
        <v>75717.649999999994</v>
      </c>
      <c r="N27" s="804"/>
      <c r="O27" s="738">
        <v>75717.649999999994</v>
      </c>
      <c r="P27" s="105" t="s">
        <v>167</v>
      </c>
      <c r="Q27" s="1860">
        <f t="shared" si="5"/>
        <v>23</v>
      </c>
      <c r="R27" s="25" t="s">
        <v>167</v>
      </c>
      <c r="S27" s="799">
        <v>74647.31</v>
      </c>
      <c r="T27" s="127">
        <v>1082.3399999999999</v>
      </c>
      <c r="U27" s="127">
        <v>75729.66</v>
      </c>
      <c r="V27" s="127"/>
      <c r="W27" s="127">
        <f t="shared" si="3"/>
        <v>75729.66</v>
      </c>
      <c r="X27" s="1866">
        <v>75475.28</v>
      </c>
      <c r="Y27" s="1350" t="s">
        <v>20</v>
      </c>
    </row>
    <row r="28" spans="1:25" s="1862" customFormat="1" ht="16.5" customHeight="1">
      <c r="A28" s="92">
        <v>24</v>
      </c>
      <c r="B28" s="12" t="s">
        <v>20</v>
      </c>
      <c r="C28" s="737">
        <v>73654.880999999994</v>
      </c>
      <c r="D28" s="737">
        <v>2144.0369999999998</v>
      </c>
      <c r="E28" s="737">
        <f t="shared" si="0"/>
        <v>75798.917999999991</v>
      </c>
      <c r="F28" s="5"/>
      <c r="G28" s="808">
        <f t="shared" si="1"/>
        <v>75798.917999999991</v>
      </c>
      <c r="H28" s="5" t="s">
        <v>167</v>
      </c>
      <c r="I28" s="92">
        <f t="shared" si="4"/>
        <v>24</v>
      </c>
      <c r="J28" s="12" t="s">
        <v>12</v>
      </c>
      <c r="K28" s="804">
        <v>7140.9</v>
      </c>
      <c r="L28" s="804">
        <v>18864.830000000002</v>
      </c>
      <c r="M28" s="804">
        <f t="shared" si="2"/>
        <v>26005.730000000003</v>
      </c>
      <c r="N28" s="804">
        <v>10760.86</v>
      </c>
      <c r="O28" s="738">
        <v>36766.589999999997</v>
      </c>
      <c r="P28" s="105" t="s">
        <v>168</v>
      </c>
      <c r="Q28" s="1860">
        <f t="shared" si="5"/>
        <v>24</v>
      </c>
      <c r="R28" s="25" t="s">
        <v>168</v>
      </c>
      <c r="S28" s="799">
        <v>14086.32</v>
      </c>
      <c r="T28" s="127">
        <v>17542.740000000002</v>
      </c>
      <c r="U28" s="127">
        <v>31629.06</v>
      </c>
      <c r="V28" s="127">
        <v>9989.7999999999993</v>
      </c>
      <c r="W28" s="127">
        <f t="shared" si="3"/>
        <v>41618.86</v>
      </c>
      <c r="X28" s="1866">
        <v>53388.22</v>
      </c>
      <c r="Y28" s="1350" t="s">
        <v>12</v>
      </c>
    </row>
    <row r="29" spans="1:25" s="1862" customFormat="1" ht="16.5" customHeight="1">
      <c r="A29" s="92">
        <v>25</v>
      </c>
      <c r="B29" s="12" t="s">
        <v>12</v>
      </c>
      <c r="C29" s="737">
        <v>4314.6109999999999</v>
      </c>
      <c r="D29" s="737">
        <v>18144.937999999998</v>
      </c>
      <c r="E29" s="737">
        <f t="shared" si="0"/>
        <v>22459.548999999999</v>
      </c>
      <c r="F29" s="12">
        <v>4087.279</v>
      </c>
      <c r="G29" s="808">
        <f t="shared" si="1"/>
        <v>26546.827999999998</v>
      </c>
      <c r="H29" s="5" t="s">
        <v>168</v>
      </c>
      <c r="I29" s="92">
        <f t="shared" si="4"/>
        <v>25</v>
      </c>
      <c r="J29" s="12" t="s">
        <v>39</v>
      </c>
      <c r="K29" s="804">
        <v>5512.48</v>
      </c>
      <c r="L29" s="804">
        <v>3229.8</v>
      </c>
      <c r="M29" s="804">
        <f t="shared" si="2"/>
        <v>8742.2799999999988</v>
      </c>
      <c r="N29" s="804"/>
      <c r="O29" s="738">
        <v>8742.2800000000007</v>
      </c>
      <c r="P29" s="105" t="s">
        <v>169</v>
      </c>
      <c r="Q29" s="1860">
        <f t="shared" si="5"/>
        <v>25</v>
      </c>
      <c r="R29" s="25" t="s">
        <v>169</v>
      </c>
      <c r="S29" s="799">
        <v>4723.74</v>
      </c>
      <c r="T29" s="127">
        <v>2141.8200000000002</v>
      </c>
      <c r="U29" s="127">
        <v>6865.56</v>
      </c>
      <c r="V29" s="127"/>
      <c r="W29" s="127">
        <f t="shared" si="3"/>
        <v>6865.56</v>
      </c>
      <c r="X29" s="1866">
        <v>39200.47</v>
      </c>
      <c r="Y29" s="1350" t="s">
        <v>39</v>
      </c>
    </row>
    <row r="30" spans="1:25" s="1862" customFormat="1" ht="16.5" customHeight="1">
      <c r="A30" s="92">
        <v>26</v>
      </c>
      <c r="B30" s="12" t="s">
        <v>39</v>
      </c>
      <c r="C30" s="737">
        <v>6322.92</v>
      </c>
      <c r="D30" s="737">
        <v>2436.6</v>
      </c>
      <c r="E30" s="737">
        <f t="shared" si="0"/>
        <v>8759.52</v>
      </c>
      <c r="F30" s="5"/>
      <c r="G30" s="808">
        <f t="shared" si="1"/>
        <v>8759.52</v>
      </c>
      <c r="H30" s="5" t="s">
        <v>169</v>
      </c>
      <c r="I30" s="92">
        <f t="shared" si="4"/>
        <v>26</v>
      </c>
      <c r="J30" s="12" t="s">
        <v>34</v>
      </c>
      <c r="K30" s="804">
        <v>203.56</v>
      </c>
      <c r="L30" s="804">
        <v>3335.62</v>
      </c>
      <c r="M30" s="804">
        <f t="shared" si="2"/>
        <v>3539.18</v>
      </c>
      <c r="N30" s="804"/>
      <c r="O30" s="738">
        <v>3539.18</v>
      </c>
      <c r="P30" s="105" t="s">
        <v>170</v>
      </c>
      <c r="Q30" s="1860">
        <f t="shared" si="5"/>
        <v>26</v>
      </c>
      <c r="R30" s="25" t="s">
        <v>170</v>
      </c>
      <c r="S30" s="799">
        <v>203.56</v>
      </c>
      <c r="T30" s="127">
        <v>6317.75</v>
      </c>
      <c r="U30" s="127">
        <v>6521.31</v>
      </c>
      <c r="V30" s="127"/>
      <c r="W30" s="127">
        <f t="shared" si="3"/>
        <v>6521.31</v>
      </c>
      <c r="X30" s="1866">
        <v>12081.63</v>
      </c>
      <c r="Y30" s="1350" t="s">
        <v>34</v>
      </c>
    </row>
    <row r="31" spans="1:25" s="1862" customFormat="1" ht="16.5" customHeight="1">
      <c r="A31" s="92">
        <v>27</v>
      </c>
      <c r="B31" s="12" t="s">
        <v>34</v>
      </c>
      <c r="C31" s="737">
        <v>203.56</v>
      </c>
      <c r="D31" s="737">
        <v>2330.9589999999998</v>
      </c>
      <c r="E31" s="737">
        <f t="shared" si="0"/>
        <v>2534.5189999999998</v>
      </c>
      <c r="F31" s="5"/>
      <c r="G31" s="808">
        <f t="shared" si="1"/>
        <v>2534.5189999999998</v>
      </c>
      <c r="H31" s="5" t="s">
        <v>170</v>
      </c>
      <c r="I31" s="92">
        <f t="shared" si="4"/>
        <v>27</v>
      </c>
      <c r="J31" s="12" t="s">
        <v>35</v>
      </c>
      <c r="K31" s="804">
        <v>48890.09</v>
      </c>
      <c r="L31" s="804">
        <v>12058.08</v>
      </c>
      <c r="M31" s="804">
        <f t="shared" si="2"/>
        <v>60948.17</v>
      </c>
      <c r="N31" s="804">
        <v>71083.5</v>
      </c>
      <c r="O31" s="738">
        <v>132031.67000000001</v>
      </c>
      <c r="P31" s="105" t="s">
        <v>171</v>
      </c>
      <c r="Q31" s="1860">
        <f t="shared" si="5"/>
        <v>27</v>
      </c>
      <c r="R31" s="25" t="s">
        <v>171</v>
      </c>
      <c r="S31" s="799">
        <v>53194.79</v>
      </c>
      <c r="T31" s="127">
        <v>14247.83</v>
      </c>
      <c r="U31" s="127">
        <v>67442.61</v>
      </c>
      <c r="V31" s="127">
        <v>91865.12</v>
      </c>
      <c r="W31" s="127">
        <f t="shared" si="3"/>
        <v>159307.72999999998</v>
      </c>
      <c r="X31" s="1866">
        <v>115590.47</v>
      </c>
      <c r="Y31" s="1350" t="s">
        <v>35</v>
      </c>
    </row>
    <row r="32" spans="1:25" s="1862" customFormat="1" ht="16.5" customHeight="1">
      <c r="A32" s="92">
        <v>28</v>
      </c>
      <c r="B32" s="12" t="s">
        <v>35</v>
      </c>
      <c r="C32" s="737">
        <v>44802.364000000001</v>
      </c>
      <c r="D32" s="737">
        <v>18035.773000000001</v>
      </c>
      <c r="E32" s="737">
        <f t="shared" si="0"/>
        <v>62838.137000000002</v>
      </c>
      <c r="F32" s="12">
        <v>143142.679</v>
      </c>
      <c r="G32" s="808">
        <f t="shared" si="1"/>
        <v>205980.81599999999</v>
      </c>
      <c r="H32" s="5" t="s">
        <v>171</v>
      </c>
      <c r="I32" s="92">
        <f t="shared" si="4"/>
        <v>28</v>
      </c>
      <c r="J32" s="12" t="s">
        <v>36</v>
      </c>
      <c r="K32" s="804">
        <v>23767.17</v>
      </c>
      <c r="L32" s="804">
        <v>18279.849999999999</v>
      </c>
      <c r="M32" s="804">
        <f t="shared" si="2"/>
        <v>42047.02</v>
      </c>
      <c r="N32" s="804">
        <v>1600</v>
      </c>
      <c r="O32" s="738">
        <v>43647.02</v>
      </c>
      <c r="P32" s="105" t="s">
        <v>172</v>
      </c>
      <c r="Q32" s="1860">
        <f t="shared" si="5"/>
        <v>28</v>
      </c>
      <c r="R32" s="25" t="s">
        <v>172</v>
      </c>
      <c r="S32" s="799">
        <v>31556.799999999999</v>
      </c>
      <c r="T32" s="127">
        <v>43269.61</v>
      </c>
      <c r="U32" s="127">
        <v>74826.399999999994</v>
      </c>
      <c r="V32" s="127">
        <v>7383.8</v>
      </c>
      <c r="W32" s="127">
        <f t="shared" si="3"/>
        <v>82210.2</v>
      </c>
      <c r="X32" s="1866">
        <v>113747.54</v>
      </c>
      <c r="Y32" s="1350" t="s">
        <v>36</v>
      </c>
    </row>
    <row r="33" spans="1:25" s="1862" customFormat="1" ht="16.5" customHeight="1">
      <c r="A33" s="92">
        <v>29</v>
      </c>
      <c r="B33" s="12" t="s">
        <v>36</v>
      </c>
      <c r="C33" s="737">
        <v>20052.260999999999</v>
      </c>
      <c r="D33" s="737">
        <v>16606.293000000001</v>
      </c>
      <c r="E33" s="737">
        <f t="shared" si="0"/>
        <v>36658.554000000004</v>
      </c>
      <c r="F33" s="12">
        <v>4751</v>
      </c>
      <c r="G33" s="808">
        <f t="shared" si="1"/>
        <v>41409.554000000004</v>
      </c>
      <c r="H33" s="5" t="s">
        <v>172</v>
      </c>
      <c r="I33" s="92">
        <f t="shared" si="4"/>
        <v>29</v>
      </c>
      <c r="J33" s="12" t="s">
        <v>37</v>
      </c>
      <c r="K33" s="804">
        <v>5254.96</v>
      </c>
      <c r="L33" s="804">
        <v>1137.0899999999999</v>
      </c>
      <c r="M33" s="804">
        <f t="shared" si="2"/>
        <v>6392.05</v>
      </c>
      <c r="N33" s="804"/>
      <c r="O33" s="738">
        <v>6392.05</v>
      </c>
      <c r="P33" s="105" t="s">
        <v>173</v>
      </c>
      <c r="Q33" s="1860">
        <f t="shared" si="5"/>
        <v>29</v>
      </c>
      <c r="R33" s="25" t="s">
        <v>173</v>
      </c>
      <c r="S33" s="799">
        <v>5462.79</v>
      </c>
      <c r="T33" s="127">
        <v>839.82</v>
      </c>
      <c r="U33" s="127">
        <v>6302.61</v>
      </c>
      <c r="V33" s="127">
        <v>14700</v>
      </c>
      <c r="W33" s="127">
        <f t="shared" si="3"/>
        <v>21002.61</v>
      </c>
      <c r="X33" s="1866">
        <v>7280.37</v>
      </c>
      <c r="Y33" s="1350" t="s">
        <v>37</v>
      </c>
    </row>
    <row r="34" spans="1:25" s="1862" customFormat="1" ht="34.5" customHeight="1">
      <c r="A34" s="92">
        <v>30</v>
      </c>
      <c r="B34" s="12" t="s">
        <v>37</v>
      </c>
      <c r="C34" s="737">
        <v>4984.2</v>
      </c>
      <c r="D34" s="737">
        <v>1305.454</v>
      </c>
      <c r="E34" s="737">
        <f t="shared" si="0"/>
        <v>6289.6539999999995</v>
      </c>
      <c r="F34" s="12">
        <v>14700</v>
      </c>
      <c r="G34" s="808">
        <f t="shared" si="1"/>
        <v>20989.653999999999</v>
      </c>
      <c r="H34" s="5" t="s">
        <v>173</v>
      </c>
      <c r="I34" s="92">
        <f t="shared" si="4"/>
        <v>30</v>
      </c>
      <c r="J34" s="12" t="s">
        <v>496</v>
      </c>
      <c r="K34" s="804">
        <v>0</v>
      </c>
      <c r="L34" s="804">
        <v>7484</v>
      </c>
      <c r="M34" s="804">
        <f t="shared" si="2"/>
        <v>7484</v>
      </c>
      <c r="N34" s="804"/>
      <c r="O34" s="738">
        <v>7484</v>
      </c>
      <c r="P34" s="193" t="s">
        <v>174</v>
      </c>
      <c r="Q34" s="1860">
        <f t="shared" si="5"/>
        <v>30</v>
      </c>
      <c r="R34" s="25" t="s">
        <v>174</v>
      </c>
      <c r="S34" s="799"/>
      <c r="T34" s="127"/>
      <c r="U34" s="127"/>
      <c r="V34" s="127"/>
      <c r="W34" s="127"/>
      <c r="X34" s="1866">
        <v>155</v>
      </c>
      <c r="Y34" s="1350" t="s">
        <v>496</v>
      </c>
    </row>
    <row r="35" spans="1:25" s="1862" customFormat="1" ht="34.5" customHeight="1">
      <c r="A35" s="92">
        <v>31</v>
      </c>
      <c r="B35" s="12" t="s">
        <v>496</v>
      </c>
      <c r="C35" s="737">
        <v>0</v>
      </c>
      <c r="D35" s="737">
        <v>7484</v>
      </c>
      <c r="E35" s="737">
        <f t="shared" si="0"/>
        <v>7484</v>
      </c>
      <c r="F35" s="5"/>
      <c r="G35" s="808">
        <f t="shared" si="1"/>
        <v>7484</v>
      </c>
      <c r="H35" s="25" t="s">
        <v>174</v>
      </c>
      <c r="I35" s="92">
        <f t="shared" si="4"/>
        <v>31</v>
      </c>
      <c r="J35" s="12" t="s">
        <v>632</v>
      </c>
      <c r="K35" s="804">
        <v>19046.27</v>
      </c>
      <c r="L35" s="804">
        <v>11229.68</v>
      </c>
      <c r="M35" s="804">
        <f t="shared" si="2"/>
        <v>30275.95</v>
      </c>
      <c r="N35" s="804">
        <v>185000</v>
      </c>
      <c r="O35" s="738">
        <v>215275.95</v>
      </c>
      <c r="P35" s="105" t="s">
        <v>154</v>
      </c>
      <c r="Q35" s="1860">
        <f t="shared" si="5"/>
        <v>31</v>
      </c>
      <c r="R35" s="25" t="s">
        <v>154</v>
      </c>
      <c r="S35" s="799">
        <v>19028.7</v>
      </c>
      <c r="T35" s="127">
        <v>11591.12</v>
      </c>
      <c r="U35" s="127">
        <v>30619.82</v>
      </c>
      <c r="V35" s="127">
        <v>162150</v>
      </c>
      <c r="W35" s="127">
        <f>U35+V35</f>
        <v>192769.82</v>
      </c>
      <c r="X35" s="1866">
        <v>59825.58</v>
      </c>
      <c r="Y35" s="1350" t="s">
        <v>26</v>
      </c>
    </row>
    <row r="36" spans="1:25" s="1862" customFormat="1" ht="16.5" customHeight="1">
      <c r="A36" s="92">
        <v>32</v>
      </c>
      <c r="B36" s="12" t="s">
        <v>7</v>
      </c>
      <c r="C36" s="737">
        <v>895.51300000000003</v>
      </c>
      <c r="D36" s="737">
        <v>0</v>
      </c>
      <c r="E36" s="737">
        <f t="shared" si="0"/>
        <v>895.51300000000003</v>
      </c>
      <c r="F36" s="5"/>
      <c r="G36" s="808">
        <f t="shared" si="1"/>
        <v>895.51300000000003</v>
      </c>
      <c r="H36" s="5" t="s">
        <v>178</v>
      </c>
      <c r="I36" s="92">
        <f t="shared" si="4"/>
        <v>32</v>
      </c>
      <c r="J36" s="805" t="s">
        <v>649</v>
      </c>
      <c r="K36" s="804">
        <v>0</v>
      </c>
      <c r="L36" s="804">
        <v>64.221000000000004</v>
      </c>
      <c r="M36" s="804">
        <f t="shared" si="2"/>
        <v>64.221000000000004</v>
      </c>
      <c r="N36" s="804"/>
      <c r="O36" s="738">
        <v>64.22</v>
      </c>
      <c r="P36" s="193" t="s">
        <v>651</v>
      </c>
      <c r="Q36" s="1860">
        <f t="shared" si="5"/>
        <v>32</v>
      </c>
      <c r="R36" s="25" t="s">
        <v>651</v>
      </c>
      <c r="S36" s="799">
        <v>0</v>
      </c>
      <c r="T36" s="127">
        <v>817.85</v>
      </c>
      <c r="U36" s="127">
        <v>817.85</v>
      </c>
      <c r="V36" s="127"/>
      <c r="W36" s="127">
        <f>U36+V36</f>
        <v>817.85</v>
      </c>
      <c r="X36" s="1866">
        <v>7817.85</v>
      </c>
      <c r="Y36" s="1350" t="s">
        <v>649</v>
      </c>
    </row>
    <row r="37" spans="1:25" s="1862" customFormat="1" ht="16.5" customHeight="1">
      <c r="A37" s="92">
        <v>33</v>
      </c>
      <c r="B37" s="12" t="s">
        <v>1582</v>
      </c>
      <c r="C37" s="737">
        <v>2.835</v>
      </c>
      <c r="D37" s="737">
        <v>0</v>
      </c>
      <c r="E37" s="737">
        <f t="shared" si="0"/>
        <v>2.835</v>
      </c>
      <c r="F37" s="5"/>
      <c r="G37" s="808">
        <f t="shared" si="1"/>
        <v>2.835</v>
      </c>
      <c r="H37" s="5" t="s">
        <v>179</v>
      </c>
      <c r="I37" s="92">
        <f t="shared" si="4"/>
        <v>33</v>
      </c>
      <c r="J37" s="12" t="s">
        <v>7</v>
      </c>
      <c r="K37" s="804">
        <v>895.51300000000003</v>
      </c>
      <c r="L37" s="804">
        <v>0</v>
      </c>
      <c r="M37" s="804">
        <f t="shared" si="2"/>
        <v>895.51300000000003</v>
      </c>
      <c r="N37" s="804"/>
      <c r="O37" s="738">
        <v>895.51</v>
      </c>
      <c r="P37" s="105" t="s">
        <v>178</v>
      </c>
      <c r="Q37" s="1860">
        <f t="shared" si="5"/>
        <v>33</v>
      </c>
      <c r="R37" s="25" t="s">
        <v>178</v>
      </c>
      <c r="S37" s="799">
        <v>895.51</v>
      </c>
      <c r="T37" s="127">
        <v>0</v>
      </c>
      <c r="U37" s="127">
        <v>895.51</v>
      </c>
      <c r="V37" s="127"/>
      <c r="W37" s="127">
        <f>U37+V37</f>
        <v>895.51</v>
      </c>
      <c r="X37" s="1866">
        <v>895.51</v>
      </c>
      <c r="Y37" s="1350" t="s">
        <v>7</v>
      </c>
    </row>
    <row r="38" spans="1:25" s="1862" customFormat="1" ht="19.5" customHeight="1">
      <c r="A38" s="2252" t="s">
        <v>0</v>
      </c>
      <c r="B38" s="2252"/>
      <c r="C38" s="807">
        <f>SUM(C5:C37)</f>
        <v>1097074.392</v>
      </c>
      <c r="D38" s="807">
        <f>SUM(D5:D37)</f>
        <v>841146.39900000009</v>
      </c>
      <c r="E38" s="807">
        <f t="shared" si="0"/>
        <v>1938220.7910000002</v>
      </c>
      <c r="F38" s="30">
        <f>SUM(F5:F36)</f>
        <v>1490417.98</v>
      </c>
      <c r="G38" s="806">
        <f t="shared" si="1"/>
        <v>3428638.7710000002</v>
      </c>
      <c r="H38" s="30" t="s">
        <v>180</v>
      </c>
      <c r="I38" s="92">
        <f t="shared" si="4"/>
        <v>34</v>
      </c>
      <c r="J38" s="805" t="s">
        <v>1581</v>
      </c>
      <c r="K38" s="804">
        <v>2.835</v>
      </c>
      <c r="L38" s="804">
        <v>20.81</v>
      </c>
      <c r="M38" s="804">
        <f t="shared" si="2"/>
        <v>23.645</v>
      </c>
      <c r="N38" s="804"/>
      <c r="O38" s="738">
        <v>23.65</v>
      </c>
      <c r="P38" s="105" t="s">
        <v>179</v>
      </c>
      <c r="Q38" s="1860">
        <f t="shared" si="5"/>
        <v>34</v>
      </c>
      <c r="R38" s="25" t="s">
        <v>179</v>
      </c>
      <c r="S38" s="799">
        <v>2.84</v>
      </c>
      <c r="T38" s="127">
        <v>20.81</v>
      </c>
      <c r="U38" s="127">
        <v>23.65</v>
      </c>
      <c r="V38" s="127"/>
      <c r="W38" s="127">
        <f>U38+V38</f>
        <v>23.65</v>
      </c>
      <c r="X38" s="1866">
        <v>21.51</v>
      </c>
      <c r="Y38" s="1350" t="s">
        <v>1581</v>
      </c>
    </row>
    <row r="39" spans="1:25">
      <c r="A39" s="803"/>
      <c r="B39" s="803"/>
      <c r="C39" s="802"/>
      <c r="D39" s="802"/>
      <c r="E39" s="802"/>
      <c r="F39" s="6"/>
      <c r="G39" s="801"/>
      <c r="H39" s="6"/>
      <c r="I39" s="2252" t="s">
        <v>0</v>
      </c>
      <c r="J39" s="2252"/>
      <c r="K39" s="800">
        <f>SUM(K5:K38)</f>
        <v>1334530.987</v>
      </c>
      <c r="L39" s="800">
        <f>SUM(L5:L38)</f>
        <v>964691.39100000006</v>
      </c>
      <c r="M39" s="800">
        <f>SUM(M5:M38)</f>
        <v>2299222.3779999996</v>
      </c>
      <c r="N39" s="800">
        <f>SUM(N5:N38)</f>
        <v>1370578.9500000002</v>
      </c>
      <c r="O39" s="800">
        <f>SUM(O5:O38)</f>
        <v>3669801.33</v>
      </c>
      <c r="P39" s="107" t="s">
        <v>180</v>
      </c>
      <c r="Q39" s="852"/>
      <c r="R39" s="25" t="s">
        <v>180</v>
      </c>
      <c r="S39" s="799">
        <v>1492611.02</v>
      </c>
      <c r="T39" s="127">
        <v>1165278.31</v>
      </c>
      <c r="U39" s="127">
        <v>2657889.33</v>
      </c>
      <c r="V39" s="127">
        <v>1681295.61</v>
      </c>
      <c r="W39" s="127">
        <f>U39+V39</f>
        <v>4339184.9400000004</v>
      </c>
      <c r="X39" s="1867">
        <v>9119865.9100000001</v>
      </c>
      <c r="Y39" s="1351" t="s">
        <v>0</v>
      </c>
    </row>
    <row r="40" spans="1:25" s="1862" customFormat="1" ht="10.5" customHeight="1">
      <c r="A40" s="2184" t="s">
        <v>1580</v>
      </c>
      <c r="B40" s="2184"/>
      <c r="C40" s="2184"/>
      <c r="D40" s="2184"/>
      <c r="E40" s="2184"/>
      <c r="F40" s="2184"/>
      <c r="G40" s="2184"/>
      <c r="H40" s="2184"/>
      <c r="I40" s="2184" t="s">
        <v>1577</v>
      </c>
      <c r="J40" s="2184"/>
      <c r="K40" s="2184"/>
      <c r="L40" s="2184"/>
      <c r="M40" s="2184"/>
      <c r="N40" s="2184"/>
      <c r="O40" s="2184"/>
      <c r="P40" s="2184"/>
      <c r="Q40" s="1861"/>
      <c r="Y40" s="1863"/>
    </row>
    <row r="41" spans="1:25" s="1862" customFormat="1" ht="15.75" customHeight="1">
      <c r="A41" s="2184" t="s">
        <v>1579</v>
      </c>
      <c r="B41" s="2184"/>
      <c r="C41" s="2184"/>
      <c r="D41" s="2184"/>
      <c r="E41" s="2184"/>
      <c r="F41" s="2184"/>
      <c r="G41" s="2184"/>
      <c r="H41" s="2184"/>
      <c r="I41" s="2184" t="s">
        <v>1578</v>
      </c>
      <c r="J41" s="2184"/>
      <c r="K41" s="2184"/>
      <c r="L41" s="2184"/>
      <c r="M41" s="2184"/>
      <c r="N41" s="2184"/>
      <c r="O41" s="2184"/>
      <c r="P41" s="2184"/>
      <c r="Q41" s="2215" t="s">
        <v>1578</v>
      </c>
      <c r="R41" s="2184"/>
      <c r="S41" s="2184"/>
      <c r="T41" s="2184"/>
      <c r="U41" s="2184"/>
      <c r="V41" s="2184"/>
      <c r="W41" s="2184"/>
      <c r="X41" s="2184"/>
      <c r="Y41" s="2216"/>
    </row>
    <row r="42" spans="1:25" ht="34.5" customHeight="1" thickBot="1">
      <c r="I42" s="210"/>
      <c r="Q42" s="1993" t="s">
        <v>1577</v>
      </c>
      <c r="R42" s="1994"/>
      <c r="S42" s="1994"/>
      <c r="T42" s="1994"/>
      <c r="U42" s="1994"/>
      <c r="V42" s="1994"/>
      <c r="W42" s="1994"/>
      <c r="X42" s="1994"/>
      <c r="Y42" s="1995"/>
    </row>
    <row r="43" spans="1:25" ht="15.75" thickTop="1"/>
  </sheetData>
  <mergeCells count="17">
    <mergeCell ref="A1:H1"/>
    <mergeCell ref="I1:P1"/>
    <mergeCell ref="Q1:Y1"/>
    <mergeCell ref="A2:H2"/>
    <mergeCell ref="I2:P2"/>
    <mergeCell ref="Q2:Y2"/>
    <mergeCell ref="A41:H41"/>
    <mergeCell ref="I41:P41"/>
    <mergeCell ref="Q41:Y41"/>
    <mergeCell ref="Q42:Y42"/>
    <mergeCell ref="D3:H3"/>
    <mergeCell ref="L3:P3"/>
    <mergeCell ref="T3:Y3"/>
    <mergeCell ref="A38:B38"/>
    <mergeCell ref="I39:J39"/>
    <mergeCell ref="A40:H40"/>
    <mergeCell ref="I40:P40"/>
  </mergeCells>
  <conditionalFormatting sqref="Q5:Y39">
    <cfRule type="expression" dxfId="58" priority="1">
      <formula>MOD(ROW(),3)=1</formula>
    </cfRule>
  </conditionalFormatting>
  <printOptions horizontalCentered="1"/>
  <pageMargins left="0.66929133858267698" right="0.15748031496063" top="0.24" bottom="0" header="0.23" footer="0"/>
  <pageSetup paperSize="9" scale="76" fitToWidth="0" fitToHeight="0" orientation="portrait" r:id="rId1"/>
  <colBreaks count="1" manualBreakCount="1">
    <brk id="8" max="1048575" man="1"/>
  </colBreaks>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737D5A-AE0E-4939-A29E-5786580ADB4E}">
  <dimension ref="A1:AB48"/>
  <sheetViews>
    <sheetView view="pageBreakPreview" topLeftCell="A28" zoomScaleSheetLayoutView="100" workbookViewId="0">
      <selection activeCell="S17" sqref="S17"/>
    </sheetView>
  </sheetViews>
  <sheetFormatPr defaultColWidth="8.85546875" defaultRowHeight="15"/>
  <cols>
    <col min="1" max="1" width="15.28515625" style="18" customWidth="1"/>
    <col min="2" max="2" width="18.42578125" style="18" customWidth="1"/>
    <col min="3" max="3" width="27.42578125" style="18" customWidth="1"/>
    <col min="4" max="4" width="29.28515625" style="18" customWidth="1"/>
    <col min="5" max="16384" width="8.85546875" style="18"/>
  </cols>
  <sheetData>
    <row r="1" spans="1:28" ht="34.5" customHeight="1" thickTop="1">
      <c r="A1" s="2255" t="s">
        <v>2769</v>
      </c>
      <c r="B1" s="2256"/>
      <c r="C1" s="2256"/>
      <c r="D1" s="2257"/>
    </row>
    <row r="2" spans="1:28" ht="27" customHeight="1">
      <c r="A2" s="2253" t="s">
        <v>2770</v>
      </c>
      <c r="B2" s="2192"/>
      <c r="C2" s="2192"/>
      <c r="D2" s="2254"/>
    </row>
    <row r="3" spans="1:28" ht="27" customHeight="1">
      <c r="A3" s="2258" t="s">
        <v>1606</v>
      </c>
      <c r="B3" s="2259"/>
      <c r="C3" s="2259"/>
      <c r="D3" s="2260"/>
    </row>
    <row r="4" spans="1:28" s="756" customFormat="1" ht="49.5" customHeight="1">
      <c r="A4" s="1352" t="s">
        <v>686</v>
      </c>
      <c r="B4" s="813" t="s">
        <v>1605</v>
      </c>
      <c r="C4" s="813" t="s">
        <v>1604</v>
      </c>
      <c r="D4" s="1353" t="s">
        <v>1603</v>
      </c>
      <c r="AB4" s="812" t="s">
        <v>520</v>
      </c>
    </row>
    <row r="5" spans="1:28" ht="18" customHeight="1">
      <c r="A5" s="220">
        <v>1</v>
      </c>
      <c r="B5" s="92">
        <v>1980</v>
      </c>
      <c r="C5" s="810">
        <v>9.3045000000000009</v>
      </c>
      <c r="D5" s="1354">
        <v>9.3045000000000009</v>
      </c>
    </row>
    <row r="6" spans="1:28" ht="18" customHeight="1">
      <c r="A6" s="220">
        <v>2</v>
      </c>
      <c r="B6" s="92">
        <v>1981</v>
      </c>
      <c r="C6" s="810">
        <v>1328.9630000000004</v>
      </c>
      <c r="D6" s="1354">
        <f t="shared" ref="D6:D42" si="0">C6+D5</f>
        <v>1338.2675000000004</v>
      </c>
    </row>
    <row r="7" spans="1:28" ht="18" customHeight="1">
      <c r="A7" s="220">
        <v>3</v>
      </c>
      <c r="B7" s="92">
        <v>1982</v>
      </c>
      <c r="C7" s="810">
        <v>3493.303359999999</v>
      </c>
      <c r="D7" s="1354">
        <f t="shared" si="0"/>
        <v>4831.5708599999998</v>
      </c>
    </row>
    <row r="8" spans="1:28" ht="18" customHeight="1">
      <c r="A8" s="220">
        <v>4</v>
      </c>
      <c r="B8" s="92">
        <v>1983</v>
      </c>
      <c r="C8" s="810">
        <v>5106.0077399999982</v>
      </c>
      <c r="D8" s="1354">
        <f t="shared" si="0"/>
        <v>9937.5785999999971</v>
      </c>
    </row>
    <row r="9" spans="1:28" ht="18" customHeight="1">
      <c r="A9" s="220">
        <v>5</v>
      </c>
      <c r="B9" s="92">
        <v>1984</v>
      </c>
      <c r="C9" s="810">
        <v>9335.1095799999857</v>
      </c>
      <c r="D9" s="1354">
        <f t="shared" si="0"/>
        <v>19272.688179999983</v>
      </c>
    </row>
    <row r="10" spans="1:28" ht="18" customHeight="1">
      <c r="A10" s="220">
        <v>6</v>
      </c>
      <c r="B10" s="92">
        <v>1985</v>
      </c>
      <c r="C10" s="810">
        <v>7574.7452000000048</v>
      </c>
      <c r="D10" s="1354">
        <f t="shared" si="0"/>
        <v>26847.433379999988</v>
      </c>
    </row>
    <row r="11" spans="1:28" ht="18" customHeight="1">
      <c r="A11" s="220">
        <v>7</v>
      </c>
      <c r="B11" s="92">
        <v>1986</v>
      </c>
      <c r="C11" s="810">
        <v>8830.8988599999975</v>
      </c>
      <c r="D11" s="1354">
        <f t="shared" si="0"/>
        <v>35678.332239999989</v>
      </c>
    </row>
    <row r="12" spans="1:28" ht="18" customHeight="1">
      <c r="A12" s="220">
        <v>8</v>
      </c>
      <c r="B12" s="92">
        <v>1987</v>
      </c>
      <c r="C12" s="810">
        <v>27048.944470000002</v>
      </c>
      <c r="D12" s="1354">
        <f t="shared" si="0"/>
        <v>62727.276709999991</v>
      </c>
    </row>
    <row r="13" spans="1:28" ht="18" customHeight="1">
      <c r="A13" s="220">
        <v>9</v>
      </c>
      <c r="B13" s="92">
        <v>1988</v>
      </c>
      <c r="C13" s="810">
        <v>19651.671737000015</v>
      </c>
      <c r="D13" s="1354">
        <f t="shared" si="0"/>
        <v>82378.948447000002</v>
      </c>
    </row>
    <row r="14" spans="1:28" ht="18" customHeight="1">
      <c r="A14" s="220">
        <v>10</v>
      </c>
      <c r="B14" s="92">
        <v>1989</v>
      </c>
      <c r="C14" s="810">
        <v>64142.83789800002</v>
      </c>
      <c r="D14" s="1354">
        <f t="shared" si="0"/>
        <v>146521.78634500003</v>
      </c>
    </row>
    <row r="15" spans="1:28" ht="18" customHeight="1">
      <c r="A15" s="220">
        <v>11</v>
      </c>
      <c r="B15" s="92">
        <v>1990</v>
      </c>
      <c r="C15" s="810">
        <v>127097.36340000003</v>
      </c>
      <c r="D15" s="1354">
        <f t="shared" si="0"/>
        <v>273619.14974500006</v>
      </c>
    </row>
    <row r="16" spans="1:28" ht="18" customHeight="1">
      <c r="A16" s="220">
        <v>12</v>
      </c>
      <c r="B16" s="92">
        <v>1991</v>
      </c>
      <c r="C16" s="810">
        <v>1196.6364000000003</v>
      </c>
      <c r="D16" s="1354">
        <f t="shared" si="0"/>
        <v>274815.78614500008</v>
      </c>
    </row>
    <row r="17" spans="1:4" ht="18" customHeight="1">
      <c r="A17" s="220">
        <v>13</v>
      </c>
      <c r="B17" s="92">
        <v>1992</v>
      </c>
      <c r="C17" s="810">
        <v>8519.6826099999998</v>
      </c>
      <c r="D17" s="1354">
        <f t="shared" si="0"/>
        <v>283335.4687550001</v>
      </c>
    </row>
    <row r="18" spans="1:4" ht="18" customHeight="1">
      <c r="A18" s="220">
        <v>14</v>
      </c>
      <c r="B18" s="92">
        <v>1993</v>
      </c>
      <c r="C18" s="810">
        <v>11134.575499999999</v>
      </c>
      <c r="D18" s="1354">
        <f t="shared" si="0"/>
        <v>294470.04425500007</v>
      </c>
    </row>
    <row r="19" spans="1:4" ht="18" customHeight="1">
      <c r="A19" s="220">
        <v>15</v>
      </c>
      <c r="B19" s="92">
        <v>1994</v>
      </c>
      <c r="C19" s="810">
        <v>14162.785300000003</v>
      </c>
      <c r="D19" s="1354">
        <f t="shared" si="0"/>
        <v>308632.82955500006</v>
      </c>
    </row>
    <row r="20" spans="1:4" ht="18" customHeight="1">
      <c r="A20" s="220">
        <v>16</v>
      </c>
      <c r="B20" s="92">
        <v>1995</v>
      </c>
      <c r="C20" s="810">
        <v>50766.052078000037</v>
      </c>
      <c r="D20" s="1354">
        <f t="shared" si="0"/>
        <v>359398.8816330001</v>
      </c>
    </row>
    <row r="21" spans="1:4" ht="18" customHeight="1">
      <c r="A21" s="220">
        <v>17</v>
      </c>
      <c r="B21" s="92">
        <v>1996</v>
      </c>
      <c r="C21" s="810">
        <v>30151.410600000007</v>
      </c>
      <c r="D21" s="1354">
        <f t="shared" si="0"/>
        <v>389550.2922330001</v>
      </c>
    </row>
    <row r="22" spans="1:4" ht="18" customHeight="1">
      <c r="A22" s="220">
        <v>18</v>
      </c>
      <c r="B22" s="92">
        <v>1997</v>
      </c>
      <c r="C22" s="810">
        <v>27049.997130000003</v>
      </c>
      <c r="D22" s="1354">
        <f t="shared" si="0"/>
        <v>416600.28936300008</v>
      </c>
    </row>
    <row r="23" spans="1:4" ht="18" customHeight="1">
      <c r="A23" s="220">
        <v>19</v>
      </c>
      <c r="B23" s="92">
        <v>1998</v>
      </c>
      <c r="C23" s="810">
        <v>10835.551738000015</v>
      </c>
      <c r="D23" s="1354">
        <f t="shared" si="0"/>
        <v>427435.84110100009</v>
      </c>
    </row>
    <row r="24" spans="1:4" ht="18" customHeight="1">
      <c r="A24" s="220">
        <v>20</v>
      </c>
      <c r="B24" s="92">
        <v>1999</v>
      </c>
      <c r="C24" s="810">
        <v>20446.934289999987</v>
      </c>
      <c r="D24" s="1354">
        <f t="shared" si="0"/>
        <v>447882.77539100009</v>
      </c>
    </row>
    <row r="25" spans="1:4" ht="18" customHeight="1">
      <c r="A25" s="220">
        <v>21</v>
      </c>
      <c r="B25" s="92">
        <v>2000</v>
      </c>
      <c r="C25" s="810">
        <v>17636.716675000011</v>
      </c>
      <c r="D25" s="1354">
        <f t="shared" si="0"/>
        <v>465519.49206600012</v>
      </c>
    </row>
    <row r="26" spans="1:4" ht="18" customHeight="1">
      <c r="A26" s="220">
        <v>22</v>
      </c>
      <c r="B26" s="92">
        <v>2001</v>
      </c>
      <c r="C26" s="810">
        <v>116786.5341229998</v>
      </c>
      <c r="D26" s="1354">
        <f t="shared" si="0"/>
        <v>582306.02618899988</v>
      </c>
    </row>
    <row r="27" spans="1:4" ht="18" customHeight="1">
      <c r="A27" s="220">
        <v>23</v>
      </c>
      <c r="B27" s="92">
        <v>2002</v>
      </c>
      <c r="C27" s="810">
        <v>30496.903850000039</v>
      </c>
      <c r="D27" s="1354">
        <f t="shared" si="0"/>
        <v>612802.93003899988</v>
      </c>
    </row>
    <row r="28" spans="1:4" ht="18" customHeight="1">
      <c r="A28" s="220">
        <v>24</v>
      </c>
      <c r="B28" s="92">
        <v>2003</v>
      </c>
      <c r="C28" s="810">
        <v>14692.883032000005</v>
      </c>
      <c r="D28" s="1354">
        <f t="shared" si="0"/>
        <v>627495.81307099992</v>
      </c>
    </row>
    <row r="29" spans="1:4" ht="18" customHeight="1">
      <c r="A29" s="220">
        <v>25</v>
      </c>
      <c r="B29" s="92">
        <v>2004</v>
      </c>
      <c r="C29" s="810">
        <v>27095.309588300024</v>
      </c>
      <c r="D29" s="1354">
        <f t="shared" si="0"/>
        <v>654591.12265929999</v>
      </c>
    </row>
    <row r="30" spans="1:4" s="811" customFormat="1" ht="18" customHeight="1">
      <c r="A30" s="220">
        <v>26</v>
      </c>
      <c r="B30" s="92">
        <v>2005</v>
      </c>
      <c r="C30" s="810">
        <v>15979.114504099991</v>
      </c>
      <c r="D30" s="1354">
        <f t="shared" si="0"/>
        <v>670570.23716339993</v>
      </c>
    </row>
    <row r="31" spans="1:4" ht="18" customHeight="1">
      <c r="A31" s="220">
        <v>27</v>
      </c>
      <c r="B31" s="92">
        <v>2006</v>
      </c>
      <c r="C31" s="810">
        <v>17128.591538600016</v>
      </c>
      <c r="D31" s="1354">
        <f t="shared" si="0"/>
        <v>687698.82870199997</v>
      </c>
    </row>
    <row r="32" spans="1:4" ht="18" customHeight="1">
      <c r="A32" s="220">
        <v>28</v>
      </c>
      <c r="B32" s="92">
        <v>2007</v>
      </c>
      <c r="C32" s="810">
        <v>16545.252230500028</v>
      </c>
      <c r="D32" s="1354">
        <f t="shared" si="0"/>
        <v>704244.08093249996</v>
      </c>
    </row>
    <row r="33" spans="1:4" ht="18" customHeight="1">
      <c r="A33" s="220">
        <v>29</v>
      </c>
      <c r="B33" s="92">
        <v>2008</v>
      </c>
      <c r="C33" s="810">
        <v>16421.636333599989</v>
      </c>
      <c r="D33" s="1354">
        <f t="shared" si="0"/>
        <v>720665.71726609999</v>
      </c>
    </row>
    <row r="34" spans="1:4" ht="18" customHeight="1">
      <c r="A34" s="220">
        <v>30</v>
      </c>
      <c r="B34" s="92">
        <v>2009</v>
      </c>
      <c r="C34" s="810">
        <v>79975.660466400019</v>
      </c>
      <c r="D34" s="1354">
        <f t="shared" si="0"/>
        <v>800641.37773249997</v>
      </c>
    </row>
    <row r="35" spans="1:4" ht="18" customHeight="1">
      <c r="A35" s="220">
        <v>31</v>
      </c>
      <c r="B35" s="92">
        <v>2010</v>
      </c>
      <c r="C35" s="810">
        <v>23009.960937700049</v>
      </c>
      <c r="D35" s="1354">
        <f t="shared" si="0"/>
        <v>823651.33867019997</v>
      </c>
    </row>
    <row r="36" spans="1:4" ht="18" customHeight="1">
      <c r="A36" s="220">
        <v>32</v>
      </c>
      <c r="B36" s="92">
        <v>2011</v>
      </c>
      <c r="C36" s="810">
        <v>14240.986165000004</v>
      </c>
      <c r="D36" s="1354">
        <f t="shared" si="0"/>
        <v>837892.32483519998</v>
      </c>
    </row>
    <row r="37" spans="1:4" ht="18" customHeight="1">
      <c r="A37" s="220">
        <v>33</v>
      </c>
      <c r="B37" s="92">
        <v>2012</v>
      </c>
      <c r="C37" s="810">
        <v>10398.216799600006</v>
      </c>
      <c r="D37" s="1354">
        <f t="shared" si="0"/>
        <v>848290.54163480003</v>
      </c>
    </row>
    <row r="38" spans="1:4" ht="18" customHeight="1">
      <c r="A38" s="220">
        <v>34</v>
      </c>
      <c r="B38" s="92">
        <v>2013</v>
      </c>
      <c r="C38" s="810">
        <v>14696.381437999993</v>
      </c>
      <c r="D38" s="1354">
        <f t="shared" si="0"/>
        <v>862986.92307280004</v>
      </c>
    </row>
    <row r="39" spans="1:4" ht="18" customHeight="1">
      <c r="A39" s="220">
        <v>35</v>
      </c>
      <c r="B39" s="92">
        <v>2014</v>
      </c>
      <c r="C39" s="810">
        <v>18524.944112999987</v>
      </c>
      <c r="D39" s="1354">
        <f t="shared" si="0"/>
        <v>881511.86718579999</v>
      </c>
    </row>
    <row r="40" spans="1:4" ht="18" customHeight="1">
      <c r="A40" s="220">
        <v>36</v>
      </c>
      <c r="B40" s="92">
        <v>2015</v>
      </c>
      <c r="C40" s="810">
        <v>14953.090238379995</v>
      </c>
      <c r="D40" s="1354">
        <f t="shared" si="0"/>
        <v>896464.95742418</v>
      </c>
    </row>
    <row r="41" spans="1:4" ht="18" customHeight="1">
      <c r="A41" s="220">
        <v>37</v>
      </c>
      <c r="B41" s="92">
        <v>2016</v>
      </c>
      <c r="C41" s="810">
        <v>8283.6184556000007</v>
      </c>
      <c r="D41" s="1354">
        <f t="shared" si="0"/>
        <v>904748.57587977999</v>
      </c>
    </row>
    <row r="42" spans="1:4" ht="18" customHeight="1">
      <c r="A42" s="220">
        <v>38</v>
      </c>
      <c r="B42" s="92">
        <v>2017</v>
      </c>
      <c r="C42" s="810">
        <v>15102.974797300007</v>
      </c>
      <c r="D42" s="1354">
        <f t="shared" si="0"/>
        <v>919851.55067708006</v>
      </c>
    </row>
    <row r="43" spans="1:4" ht="18" customHeight="1">
      <c r="A43" s="220">
        <v>39</v>
      </c>
      <c r="B43" s="92">
        <v>2018</v>
      </c>
      <c r="C43" s="810">
        <v>16902.560000000001</v>
      </c>
      <c r="D43" s="1354">
        <f>16902.56+D42</f>
        <v>936754.11067708011</v>
      </c>
    </row>
    <row r="44" spans="1:4" ht="18" customHeight="1">
      <c r="A44" s="220">
        <v>40</v>
      </c>
      <c r="B44" s="92">
        <v>2019</v>
      </c>
      <c r="C44" s="810">
        <v>15906.9166</v>
      </c>
      <c r="D44" s="1354">
        <f>D43+C44</f>
        <v>952661.02727708011</v>
      </c>
    </row>
    <row r="45" spans="1:4" ht="18" customHeight="1">
      <c r="A45" s="220">
        <v>41</v>
      </c>
      <c r="B45" s="92">
        <v>2020</v>
      </c>
      <c r="C45" s="810">
        <v>21201.74</v>
      </c>
      <c r="D45" s="1354">
        <v>973862.77</v>
      </c>
    </row>
    <row r="46" spans="1:4" ht="18" customHeight="1">
      <c r="A46" s="220">
        <v>42</v>
      </c>
      <c r="B46" s="92">
        <v>2021</v>
      </c>
      <c r="C46" s="810">
        <v>18131</v>
      </c>
      <c r="D46" s="1354">
        <v>991994</v>
      </c>
    </row>
    <row r="47" spans="1:4" ht="23.25" customHeight="1" thickBot="1">
      <c r="A47" s="1993" t="s">
        <v>1602</v>
      </c>
      <c r="B47" s="1994"/>
      <c r="C47" s="1994"/>
      <c r="D47" s="1995"/>
    </row>
    <row r="48" spans="1:4" ht="32.25" customHeight="1" thickTop="1">
      <c r="A48" s="2184"/>
      <c r="B48" s="2184"/>
      <c r="C48" s="2184"/>
      <c r="D48" s="2184"/>
    </row>
  </sheetData>
  <mergeCells count="5">
    <mergeCell ref="A1:D1"/>
    <mergeCell ref="A3:D3"/>
    <mergeCell ref="A47:D47"/>
    <mergeCell ref="A48:D48"/>
    <mergeCell ref="A2:D2"/>
  </mergeCells>
  <conditionalFormatting sqref="A5:D46">
    <cfRule type="expression" dxfId="57" priority="1">
      <formula>MOD(ROW(),3)=1</formula>
    </cfRule>
  </conditionalFormatting>
  <printOptions horizontalCentered="1"/>
  <pageMargins left="0.66929133858267698" right="0.15748031496063" top="0.55118110236220497" bottom="0.74803149606299202" header="0.31496062992126" footer="0.31496062992126"/>
  <pageSetup paperSize="9" scale="83" fitToWidth="0" fitToHeight="0" orientation="portrait" r:id="rId1"/>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F5FE4-D522-44D0-A387-C1C7F6C3817A}">
  <dimension ref="A1:Z49"/>
  <sheetViews>
    <sheetView view="pageBreakPreview" zoomScaleSheetLayoutView="100" workbookViewId="0">
      <selection activeCell="S17" sqref="S17"/>
    </sheetView>
  </sheetViews>
  <sheetFormatPr defaultColWidth="9.140625" defaultRowHeight="14.25"/>
  <cols>
    <col min="1" max="1" width="7.28515625" style="816" customWidth="1"/>
    <col min="2" max="2" width="19.5703125" style="815" bestFit="1" customWidth="1"/>
    <col min="3" max="3" width="14.42578125" style="815" hidden="1" customWidth="1"/>
    <col min="4" max="4" width="14" style="815" hidden="1" customWidth="1"/>
    <col min="5" max="11" width="11.7109375" style="815" customWidth="1"/>
    <col min="12" max="12" width="19.5703125" style="815" customWidth="1"/>
    <col min="13" max="16384" width="9.140625" style="815"/>
  </cols>
  <sheetData>
    <row r="1" spans="1:26" s="826" customFormat="1" ht="20.25" customHeight="1" thickTop="1">
      <c r="A1" s="2220" t="s">
        <v>2771</v>
      </c>
      <c r="B1" s="1869"/>
      <c r="C1" s="1869"/>
      <c r="D1" s="1869"/>
      <c r="E1" s="1869"/>
      <c r="F1" s="1869"/>
      <c r="G1" s="1869"/>
      <c r="H1" s="1869"/>
      <c r="I1" s="1869"/>
      <c r="J1" s="1869"/>
      <c r="K1" s="1869"/>
      <c r="L1" s="1870"/>
      <c r="M1" s="817"/>
      <c r="N1" s="817"/>
      <c r="O1" s="817"/>
      <c r="P1" s="817"/>
    </row>
    <row r="2" spans="1:26" s="826" customFormat="1" ht="20.25" customHeight="1">
      <c r="A2" s="2224" t="s">
        <v>2772</v>
      </c>
      <c r="B2" s="2193"/>
      <c r="C2" s="2193"/>
      <c r="D2" s="2193"/>
      <c r="E2" s="2193"/>
      <c r="F2" s="2193"/>
      <c r="G2" s="2193"/>
      <c r="H2" s="2193"/>
      <c r="I2" s="2193"/>
      <c r="J2" s="2193"/>
      <c r="K2" s="2193"/>
      <c r="L2" s="2225"/>
      <c r="M2" s="817"/>
      <c r="N2" s="817"/>
      <c r="O2" s="817"/>
      <c r="P2" s="817"/>
    </row>
    <row r="3" spans="1:26" s="817" customFormat="1" ht="20.25" customHeight="1">
      <c r="A3" s="2261" t="s">
        <v>1613</v>
      </c>
      <c r="B3" s="2249"/>
      <c r="C3" s="2249"/>
      <c r="D3" s="2249"/>
      <c r="E3" s="2249"/>
      <c r="F3" s="2249"/>
      <c r="G3" s="2249"/>
      <c r="H3" s="2249"/>
      <c r="I3" s="2249"/>
      <c r="J3" s="2249"/>
      <c r="K3" s="2249"/>
      <c r="L3" s="2262"/>
    </row>
    <row r="4" spans="1:26" s="822" customFormat="1" ht="35.25" customHeight="1">
      <c r="A4" s="825" t="s">
        <v>688</v>
      </c>
      <c r="B4" s="1139" t="s">
        <v>141</v>
      </c>
      <c r="C4" s="1146" t="s">
        <v>2</v>
      </c>
      <c r="D4" s="1139" t="s">
        <v>3</v>
      </c>
      <c r="E4" s="1139" t="s">
        <v>13</v>
      </c>
      <c r="F4" s="1139" t="s">
        <v>41</v>
      </c>
      <c r="G4" s="1139" t="s">
        <v>42</v>
      </c>
      <c r="H4" s="1139" t="s">
        <v>129</v>
      </c>
      <c r="I4" s="1139" t="s">
        <v>142</v>
      </c>
      <c r="J4" s="1139" t="s">
        <v>276</v>
      </c>
      <c r="K4" s="1139" t="s">
        <v>522</v>
      </c>
      <c r="L4" s="1149" t="s">
        <v>1612</v>
      </c>
      <c r="O4" s="824"/>
      <c r="P4" s="824"/>
      <c r="Z4" s="823" t="s">
        <v>520</v>
      </c>
    </row>
    <row r="5" spans="1:26" ht="23.1" customHeight="1">
      <c r="A5" s="1157">
        <v>1</v>
      </c>
      <c r="B5" s="232" t="s">
        <v>680</v>
      </c>
      <c r="C5" s="235">
        <v>296886</v>
      </c>
      <c r="D5" s="397">
        <v>309701</v>
      </c>
      <c r="E5" s="397">
        <v>340592</v>
      </c>
      <c r="F5" s="397">
        <v>396696</v>
      </c>
      <c r="G5" s="397">
        <v>423462</v>
      </c>
      <c r="H5" s="397">
        <v>685345</v>
      </c>
      <c r="I5" s="397">
        <v>713411.25398671406</v>
      </c>
      <c r="J5" s="397">
        <v>926029.95236411621</v>
      </c>
      <c r="K5" s="397">
        <v>901910.31064782385</v>
      </c>
      <c r="L5" s="630" t="s">
        <v>14</v>
      </c>
    </row>
    <row r="6" spans="1:26" ht="23.1" customHeight="1">
      <c r="A6" s="1157">
        <v>2</v>
      </c>
      <c r="B6" s="232" t="s">
        <v>912</v>
      </c>
      <c r="C6" s="235">
        <v>197843</v>
      </c>
      <c r="D6" s="397">
        <v>221476</v>
      </c>
      <c r="E6" s="397">
        <v>300520</v>
      </c>
      <c r="F6" s="397">
        <v>329405</v>
      </c>
      <c r="G6" s="397">
        <v>391927</v>
      </c>
      <c r="H6" s="397">
        <v>408742</v>
      </c>
      <c r="I6" s="397">
        <v>407553.93159918295</v>
      </c>
      <c r="J6" s="397">
        <v>606234.8384750702</v>
      </c>
      <c r="K6" s="397">
        <v>613557.01000381913</v>
      </c>
      <c r="L6" s="630" t="s">
        <v>15</v>
      </c>
    </row>
    <row r="7" spans="1:26" ht="23.1" customHeight="1">
      <c r="A7" s="1157">
        <v>3</v>
      </c>
      <c r="B7" s="232" t="s">
        <v>215</v>
      </c>
      <c r="C7" s="235">
        <v>276590</v>
      </c>
      <c r="D7" s="397">
        <v>302791</v>
      </c>
      <c r="E7" s="397">
        <v>381370</v>
      </c>
      <c r="F7" s="397">
        <v>368343</v>
      </c>
      <c r="G7" s="397">
        <v>383924</v>
      </c>
      <c r="H7" s="397">
        <v>330210</v>
      </c>
      <c r="I7" s="397">
        <v>337767.80339011195</v>
      </c>
      <c r="J7" s="397">
        <v>367239.7282201373</v>
      </c>
      <c r="K7" s="397">
        <v>391259.23728536197</v>
      </c>
      <c r="L7" s="630" t="s">
        <v>21</v>
      </c>
    </row>
    <row r="8" spans="1:26" ht="23.1" customHeight="1">
      <c r="A8" s="1157">
        <v>4</v>
      </c>
      <c r="B8" s="232" t="s">
        <v>809</v>
      </c>
      <c r="C8" s="235">
        <v>500966</v>
      </c>
      <c r="D8" s="397">
        <v>547582</v>
      </c>
      <c r="E8" s="397">
        <v>593470</v>
      </c>
      <c r="F8" s="397">
        <v>634400</v>
      </c>
      <c r="G8" s="397">
        <v>695912</v>
      </c>
      <c r="H8" s="397">
        <v>838451</v>
      </c>
      <c r="I8" s="397">
        <v>903152.07781545864</v>
      </c>
      <c r="J8" s="397">
        <v>1020539.4324063157</v>
      </c>
      <c r="K8" s="397">
        <v>1105000.0436268768</v>
      </c>
      <c r="L8" s="630" t="s">
        <v>22</v>
      </c>
    </row>
    <row r="9" spans="1:26" ht="23.1" customHeight="1">
      <c r="A9" s="1157">
        <v>5</v>
      </c>
      <c r="B9" s="232" t="s">
        <v>911</v>
      </c>
      <c r="C9" s="235">
        <v>509389</v>
      </c>
      <c r="D9" s="397">
        <v>606830</v>
      </c>
      <c r="E9" s="397">
        <v>816772</v>
      </c>
      <c r="F9" s="397">
        <v>878895</v>
      </c>
      <c r="G9" s="397">
        <v>988958</v>
      </c>
      <c r="H9" s="397">
        <v>1326121</v>
      </c>
      <c r="I9" s="397">
        <v>1266443.4750890506</v>
      </c>
      <c r="J9" s="397">
        <v>1516251.7293706804</v>
      </c>
      <c r="K9" s="397">
        <v>1656769.3482183381</v>
      </c>
      <c r="L9" s="630" t="s">
        <v>23</v>
      </c>
    </row>
    <row r="10" spans="1:26" ht="23.1" customHeight="1">
      <c r="A10" s="1157">
        <v>6</v>
      </c>
      <c r="B10" s="232" t="s">
        <v>216</v>
      </c>
      <c r="C10" s="235">
        <v>14195</v>
      </c>
      <c r="D10" s="397">
        <v>15210</v>
      </c>
      <c r="E10" s="397">
        <v>18948</v>
      </c>
      <c r="F10" s="397">
        <v>23142</v>
      </c>
      <c r="G10" s="397">
        <v>31208</v>
      </c>
      <c r="H10" s="397">
        <v>166868</v>
      </c>
      <c r="I10" s="397">
        <v>54814.723109519226</v>
      </c>
      <c r="J10" s="397">
        <v>78224.116566049561</v>
      </c>
      <c r="K10" s="397">
        <v>83843.931434156155</v>
      </c>
      <c r="L10" s="630" t="s">
        <v>16</v>
      </c>
    </row>
    <row r="11" spans="1:26" ht="23.1" customHeight="1">
      <c r="A11" s="1157">
        <v>7</v>
      </c>
      <c r="B11" s="232" t="s">
        <v>877</v>
      </c>
      <c r="C11" s="235">
        <v>730736</v>
      </c>
      <c r="D11" s="397">
        <v>930723</v>
      </c>
      <c r="E11" s="397">
        <v>862230</v>
      </c>
      <c r="F11" s="397">
        <v>909267</v>
      </c>
      <c r="G11" s="397">
        <v>1414665</v>
      </c>
      <c r="H11" s="397">
        <v>1828681</v>
      </c>
      <c r="I11" s="397">
        <v>2349871.323681674</v>
      </c>
      <c r="J11" s="397">
        <v>2856478.0502178315</v>
      </c>
      <c r="K11" s="397">
        <v>2613225.0191613398</v>
      </c>
      <c r="L11" s="630" t="s">
        <v>17</v>
      </c>
    </row>
    <row r="12" spans="1:26" ht="23.1" customHeight="1">
      <c r="A12" s="1157">
        <v>8</v>
      </c>
      <c r="B12" s="232" t="s">
        <v>1156</v>
      </c>
      <c r="C12" s="235">
        <v>464261</v>
      </c>
      <c r="D12" s="397">
        <v>515935</v>
      </c>
      <c r="E12" s="397">
        <v>482925</v>
      </c>
      <c r="F12" s="397">
        <v>457836</v>
      </c>
      <c r="G12" s="397">
        <v>496592</v>
      </c>
      <c r="H12" s="397">
        <v>416916</v>
      </c>
      <c r="I12" s="397">
        <v>489612.09181836445</v>
      </c>
      <c r="J12" s="397">
        <v>557211.24052918854</v>
      </c>
      <c r="K12" s="397">
        <v>484554.53689316078</v>
      </c>
      <c r="L12" s="630" t="s">
        <v>25</v>
      </c>
    </row>
    <row r="13" spans="1:26" ht="23.1" customHeight="1">
      <c r="A13" s="1157">
        <v>9</v>
      </c>
      <c r="B13" s="232" t="s">
        <v>1155</v>
      </c>
      <c r="C13" s="235">
        <v>488023</v>
      </c>
      <c r="D13" s="397">
        <v>524642</v>
      </c>
      <c r="E13" s="397">
        <v>558216</v>
      </c>
      <c r="F13" s="397">
        <v>666159</v>
      </c>
      <c r="G13" s="397">
        <v>694601</v>
      </c>
      <c r="H13" s="397">
        <v>914927</v>
      </c>
      <c r="I13" s="397">
        <v>756577.52655469219</v>
      </c>
      <c r="J13" s="397">
        <v>565745.93286131683</v>
      </c>
      <c r="K13" s="397">
        <v>735462.79786903225</v>
      </c>
      <c r="L13" s="630" t="s">
        <v>5</v>
      </c>
    </row>
    <row r="14" spans="1:26" ht="23.1" customHeight="1">
      <c r="A14" s="1157">
        <v>10</v>
      </c>
      <c r="B14" s="232" t="s">
        <v>1154</v>
      </c>
      <c r="C14" s="235">
        <v>160818</v>
      </c>
      <c r="D14" s="397">
        <v>181381</v>
      </c>
      <c r="E14" s="397">
        <v>173828</v>
      </c>
      <c r="F14" s="397">
        <v>186751</v>
      </c>
      <c r="G14" s="397">
        <v>194018</v>
      </c>
      <c r="H14" s="397">
        <v>192673</v>
      </c>
      <c r="I14" s="397">
        <v>254762.90660723703</v>
      </c>
      <c r="J14" s="397">
        <v>275889.66352470609</v>
      </c>
      <c r="K14" s="397">
        <v>278745.97517813602</v>
      </c>
      <c r="L14" s="630" t="s">
        <v>632</v>
      </c>
    </row>
    <row r="15" spans="1:26" ht="23.1" customHeight="1">
      <c r="A15" s="1157">
        <v>11</v>
      </c>
      <c r="B15" s="232" t="s">
        <v>861</v>
      </c>
      <c r="C15" s="235">
        <v>427742</v>
      </c>
      <c r="D15" s="397">
        <v>479848</v>
      </c>
      <c r="E15" s="397">
        <v>652119</v>
      </c>
      <c r="F15" s="397">
        <v>1520642</v>
      </c>
      <c r="G15" s="397">
        <v>859806</v>
      </c>
      <c r="H15" s="397">
        <v>986388</v>
      </c>
      <c r="I15" s="397">
        <v>997737.24080127268</v>
      </c>
      <c r="J15" s="397">
        <v>1079649.0119310964</v>
      </c>
      <c r="K15" s="397">
        <v>641557.38722379657</v>
      </c>
      <c r="L15" s="630" t="s">
        <v>27</v>
      </c>
    </row>
    <row r="16" spans="1:26" ht="23.1" customHeight="1">
      <c r="A16" s="1157">
        <v>12</v>
      </c>
      <c r="B16" s="232" t="s">
        <v>140</v>
      </c>
      <c r="C16" s="235">
        <v>708328</v>
      </c>
      <c r="D16" s="397">
        <v>725113</v>
      </c>
      <c r="E16" s="397">
        <v>789353</v>
      </c>
      <c r="F16" s="397">
        <v>782381</v>
      </c>
      <c r="G16" s="397">
        <v>1005378</v>
      </c>
      <c r="H16" s="397">
        <v>1152644</v>
      </c>
      <c r="I16" s="397">
        <v>1040762.876860196</v>
      </c>
      <c r="J16" s="397">
        <v>1248421.9097827708</v>
      </c>
      <c r="K16" s="397">
        <v>1343549.6321653875</v>
      </c>
      <c r="L16" s="630" t="s">
        <v>28</v>
      </c>
    </row>
    <row r="17" spans="1:12" ht="23.1" customHeight="1">
      <c r="A17" s="1157">
        <v>13</v>
      </c>
      <c r="B17" s="232" t="s">
        <v>874</v>
      </c>
      <c r="C17" s="235">
        <v>435747</v>
      </c>
      <c r="D17" s="397">
        <v>431492</v>
      </c>
      <c r="E17" s="397">
        <v>590613</v>
      </c>
      <c r="F17" s="397">
        <v>783932</v>
      </c>
      <c r="G17" s="397">
        <v>1302715</v>
      </c>
      <c r="H17" s="397">
        <v>1275725</v>
      </c>
      <c r="I17" s="397">
        <v>1195451.7846413227</v>
      </c>
      <c r="J17" s="397">
        <v>1594165.4252793672</v>
      </c>
      <c r="K17" s="397">
        <v>1726742.223535286</v>
      </c>
      <c r="L17" s="630" t="s">
        <v>6</v>
      </c>
    </row>
    <row r="18" spans="1:12" ht="23.1" customHeight="1">
      <c r="A18" s="1157">
        <v>14</v>
      </c>
      <c r="B18" s="232" t="s">
        <v>909</v>
      </c>
      <c r="C18" s="235">
        <v>1121960</v>
      </c>
      <c r="D18" s="397">
        <v>1262312</v>
      </c>
      <c r="E18" s="397">
        <v>1518449</v>
      </c>
      <c r="F18" s="397">
        <v>1616827</v>
      </c>
      <c r="G18" s="397">
        <v>1729631</v>
      </c>
      <c r="H18" s="397">
        <v>1796548</v>
      </c>
      <c r="I18" s="397">
        <v>1866554.5315359188</v>
      </c>
      <c r="J18" s="397">
        <v>2120369.7708436241</v>
      </c>
      <c r="K18" s="397">
        <v>2264239.5098700654</v>
      </c>
      <c r="L18" s="630" t="s">
        <v>18</v>
      </c>
    </row>
    <row r="19" spans="1:12" ht="23.1" customHeight="1">
      <c r="A19" s="1157">
        <v>15</v>
      </c>
      <c r="B19" s="232" t="s">
        <v>138</v>
      </c>
      <c r="C19" s="235">
        <v>1809188</v>
      </c>
      <c r="D19" s="397">
        <v>1977936</v>
      </c>
      <c r="E19" s="397">
        <v>2273138</v>
      </c>
      <c r="F19" s="397">
        <v>2226040</v>
      </c>
      <c r="G19" s="397">
        <v>2070790</v>
      </c>
      <c r="H19" s="397">
        <v>2385087</v>
      </c>
      <c r="I19" s="397">
        <v>3337218.5354373003</v>
      </c>
      <c r="J19" s="397">
        <v>3995582.1860955264</v>
      </c>
      <c r="K19" s="397">
        <v>4058206.9822296696</v>
      </c>
      <c r="L19" s="630" t="s">
        <v>29</v>
      </c>
    </row>
    <row r="20" spans="1:12" ht="23.1" customHeight="1">
      <c r="A20" s="1157">
        <v>16</v>
      </c>
      <c r="B20" s="232" t="s">
        <v>1137</v>
      </c>
      <c r="C20" s="235">
        <v>50199</v>
      </c>
      <c r="D20" s="397">
        <v>52382</v>
      </c>
      <c r="E20" s="397">
        <v>50099</v>
      </c>
      <c r="F20" s="397">
        <v>51269</v>
      </c>
      <c r="G20" s="397">
        <v>48377</v>
      </c>
      <c r="H20" s="397">
        <v>65571</v>
      </c>
      <c r="I20" s="397">
        <v>91640.415411649301</v>
      </c>
      <c r="J20" s="397">
        <v>77783.124924931617</v>
      </c>
      <c r="K20" s="397">
        <v>63803.122858160656</v>
      </c>
      <c r="L20" s="630" t="s">
        <v>19</v>
      </c>
    </row>
    <row r="21" spans="1:12" ht="23.1" customHeight="1">
      <c r="A21" s="1157">
        <v>17</v>
      </c>
      <c r="B21" s="232" t="s">
        <v>908</v>
      </c>
      <c r="C21" s="235">
        <v>66758</v>
      </c>
      <c r="D21" s="397">
        <v>65823</v>
      </c>
      <c r="E21" s="397">
        <v>122059</v>
      </c>
      <c r="F21" s="397">
        <v>122611</v>
      </c>
      <c r="G21" s="397">
        <v>127558</v>
      </c>
      <c r="H21" s="397">
        <v>159604</v>
      </c>
      <c r="I21" s="397">
        <v>155834.68880924638</v>
      </c>
      <c r="J21" s="397">
        <v>191011.45958033035</v>
      </c>
      <c r="K21" s="397">
        <v>168639.7358376318</v>
      </c>
      <c r="L21" s="630" t="s">
        <v>8</v>
      </c>
    </row>
    <row r="22" spans="1:12" ht="23.1" customHeight="1">
      <c r="A22" s="1157">
        <v>18</v>
      </c>
      <c r="B22" s="232" t="s">
        <v>217</v>
      </c>
      <c r="C22" s="235">
        <v>45906</v>
      </c>
      <c r="D22" s="397">
        <v>49011</v>
      </c>
      <c r="E22" s="397">
        <v>63051</v>
      </c>
      <c r="F22" s="397">
        <v>300955</v>
      </c>
      <c r="G22" s="397">
        <v>327927</v>
      </c>
      <c r="H22" s="397">
        <v>291995</v>
      </c>
      <c r="I22" s="397">
        <v>292525.95135665807</v>
      </c>
      <c r="J22" s="397">
        <v>326123.20756941894</v>
      </c>
      <c r="K22" s="397">
        <v>347021.61024234147</v>
      </c>
      <c r="L22" s="630" t="s">
        <v>30</v>
      </c>
    </row>
    <row r="23" spans="1:12" ht="23.1" customHeight="1">
      <c r="A23" s="1157">
        <v>19</v>
      </c>
      <c r="B23" s="232" t="s">
        <v>139</v>
      </c>
      <c r="C23" s="235">
        <v>95138</v>
      </c>
      <c r="D23" s="397">
        <v>100038</v>
      </c>
      <c r="E23" s="397">
        <v>111964</v>
      </c>
      <c r="F23" s="397">
        <v>126892</v>
      </c>
      <c r="G23" s="397">
        <v>132451</v>
      </c>
      <c r="H23" s="397">
        <v>178931</v>
      </c>
      <c r="I23" s="397">
        <v>205222.75523684963</v>
      </c>
      <c r="J23" s="397">
        <v>288670.31829367857</v>
      </c>
      <c r="K23" s="397">
        <v>292918.57635254151</v>
      </c>
      <c r="L23" s="630" t="s">
        <v>31</v>
      </c>
    </row>
    <row r="24" spans="1:12" ht="23.1" customHeight="1">
      <c r="A24" s="1157">
        <v>20</v>
      </c>
      <c r="B24" s="232" t="s">
        <v>856</v>
      </c>
      <c r="C24" s="235">
        <v>685293</v>
      </c>
      <c r="D24" s="397">
        <v>751045</v>
      </c>
      <c r="E24" s="397">
        <v>942244</v>
      </c>
      <c r="F24" s="397">
        <v>1026614</v>
      </c>
      <c r="G24" s="397">
        <v>1105915</v>
      </c>
      <c r="H24" s="397">
        <v>1210923</v>
      </c>
      <c r="I24" s="397">
        <v>1185589.1324530854</v>
      </c>
      <c r="J24" s="397">
        <v>1486543.1669238678</v>
      </c>
      <c r="K24" s="397">
        <v>1559111.6542189263</v>
      </c>
      <c r="L24" s="630" t="s">
        <v>9</v>
      </c>
    </row>
    <row r="25" spans="1:12" ht="23.1" customHeight="1">
      <c r="A25" s="1157">
        <v>21</v>
      </c>
      <c r="B25" s="232" t="s">
        <v>1152</v>
      </c>
      <c r="C25" s="235">
        <v>855522</v>
      </c>
      <c r="D25" s="397">
        <v>919609</v>
      </c>
      <c r="E25" s="397">
        <v>875110</v>
      </c>
      <c r="F25" s="397">
        <v>1029055</v>
      </c>
      <c r="G25" s="397">
        <v>1051794</v>
      </c>
      <c r="H25" s="397">
        <v>784143</v>
      </c>
      <c r="I25" s="397">
        <v>798413.15472689655</v>
      </c>
      <c r="J25" s="397">
        <v>1232926.0666518549</v>
      </c>
      <c r="K25" s="397">
        <v>1202356.0812826571</v>
      </c>
      <c r="L25" s="630" t="s">
        <v>32</v>
      </c>
    </row>
    <row r="26" spans="1:12" ht="23.1" customHeight="1">
      <c r="A26" s="1157">
        <v>22</v>
      </c>
      <c r="B26" s="232" t="s">
        <v>872</v>
      </c>
      <c r="C26" s="235">
        <v>1693704</v>
      </c>
      <c r="D26" s="397">
        <v>1966205</v>
      </c>
      <c r="E26" s="397">
        <v>2416088</v>
      </c>
      <c r="F26" s="397">
        <v>2561400</v>
      </c>
      <c r="G26" s="397">
        <v>2589923</v>
      </c>
      <c r="H26" s="397">
        <v>2757842</v>
      </c>
      <c r="I26" s="397">
        <v>2701823.888289527</v>
      </c>
      <c r="J26" s="397">
        <v>2708504.8809286584</v>
      </c>
      <c r="K26" s="397">
        <v>2836804.363363828</v>
      </c>
      <c r="L26" s="630" t="s">
        <v>33</v>
      </c>
    </row>
    <row r="27" spans="1:12" ht="23.1" customHeight="1">
      <c r="A27" s="1157">
        <v>23</v>
      </c>
      <c r="B27" s="232" t="s">
        <v>1139</v>
      </c>
      <c r="C27" s="235">
        <v>4712</v>
      </c>
      <c r="D27" s="397">
        <v>4936</v>
      </c>
      <c r="E27" s="397">
        <v>7324</v>
      </c>
      <c r="F27" s="397">
        <v>5741</v>
      </c>
      <c r="G27" s="397">
        <v>7179</v>
      </c>
      <c r="H27" s="397">
        <v>10193</v>
      </c>
      <c r="I27" s="397">
        <v>10349.988410577003</v>
      </c>
      <c r="J27" s="397">
        <v>8084.7717342094711</v>
      </c>
      <c r="K27" s="397">
        <v>9073.7227693530513</v>
      </c>
      <c r="L27" s="630" t="s">
        <v>20</v>
      </c>
    </row>
    <row r="28" spans="1:12" ht="23.1" customHeight="1">
      <c r="A28" s="1157">
        <v>24</v>
      </c>
      <c r="B28" s="232" t="s">
        <v>681</v>
      </c>
      <c r="C28" s="235">
        <v>424980</v>
      </c>
      <c r="D28" s="397">
        <v>408911</v>
      </c>
      <c r="E28" s="397">
        <v>466619</v>
      </c>
      <c r="F28" s="397">
        <v>466745</v>
      </c>
      <c r="G28" s="397">
        <v>530164</v>
      </c>
      <c r="H28" s="397">
        <v>540858</v>
      </c>
      <c r="I28" s="397">
        <v>693584.90292604396</v>
      </c>
      <c r="J28" s="397">
        <v>918302.33132435824</v>
      </c>
      <c r="K28" s="397">
        <v>1041301.4229014178</v>
      </c>
      <c r="L28" s="630" t="s">
        <v>12</v>
      </c>
    </row>
    <row r="29" spans="1:12" ht="23.1" customHeight="1">
      <c r="A29" s="1157">
        <v>25</v>
      </c>
      <c r="B29" s="232" t="s">
        <v>218</v>
      </c>
      <c r="C29" s="235">
        <v>229372</v>
      </c>
      <c r="D29" s="397">
        <v>233143</v>
      </c>
      <c r="E29" s="397">
        <v>275984</v>
      </c>
      <c r="F29" s="397">
        <v>292290</v>
      </c>
      <c r="G29" s="397">
        <v>301556</v>
      </c>
      <c r="H29" s="397">
        <v>401757</v>
      </c>
      <c r="I29" s="397">
        <v>431729.20474461158</v>
      </c>
      <c r="J29" s="397">
        <v>461713.79935800913</v>
      </c>
      <c r="K29" s="397">
        <v>430752.58792320674</v>
      </c>
      <c r="L29" s="630" t="s">
        <v>39</v>
      </c>
    </row>
    <row r="30" spans="1:12" ht="23.1" customHeight="1">
      <c r="A30" s="1157">
        <v>26</v>
      </c>
      <c r="B30" s="232" t="s">
        <v>1136</v>
      </c>
      <c r="C30" s="235">
        <v>131205</v>
      </c>
      <c r="D30" s="397">
        <v>143111</v>
      </c>
      <c r="E30" s="397">
        <v>164823</v>
      </c>
      <c r="F30" s="397">
        <v>174392</v>
      </c>
      <c r="G30" s="397">
        <v>184984</v>
      </c>
      <c r="H30" s="397">
        <v>221174</v>
      </c>
      <c r="I30" s="397">
        <v>230504.84163207409</v>
      </c>
      <c r="J30" s="397">
        <v>331731.31838245958</v>
      </c>
      <c r="K30" s="397">
        <v>359658.85993491218</v>
      </c>
      <c r="L30" s="630" t="s">
        <v>34</v>
      </c>
    </row>
    <row r="31" spans="1:12" ht="23.1" customHeight="1">
      <c r="A31" s="1157">
        <v>27</v>
      </c>
      <c r="B31" s="232" t="s">
        <v>907</v>
      </c>
      <c r="C31" s="235">
        <v>1493606</v>
      </c>
      <c r="D31" s="397">
        <v>1637494</v>
      </c>
      <c r="E31" s="397">
        <v>1586126</v>
      </c>
      <c r="F31" s="397">
        <v>1723317</v>
      </c>
      <c r="G31" s="397">
        <v>1808194</v>
      </c>
      <c r="H31" s="397">
        <v>1948905</v>
      </c>
      <c r="I31" s="397">
        <v>1977650.6085029773</v>
      </c>
      <c r="J31" s="397">
        <v>2201642.5583104584</v>
      </c>
      <c r="K31" s="397">
        <v>2500845.4333807267</v>
      </c>
      <c r="L31" s="630" t="s">
        <v>35</v>
      </c>
    </row>
    <row r="32" spans="1:12" ht="23.1" customHeight="1">
      <c r="A32" s="1157">
        <v>28</v>
      </c>
      <c r="B32" s="232" t="s">
        <v>1611</v>
      </c>
      <c r="C32" s="235">
        <v>328131</v>
      </c>
      <c r="D32" s="397">
        <v>380779</v>
      </c>
      <c r="E32" s="397">
        <v>452871</v>
      </c>
      <c r="F32" s="397">
        <v>407948</v>
      </c>
      <c r="G32" s="397">
        <v>403097</v>
      </c>
      <c r="H32" s="397">
        <v>397050</v>
      </c>
      <c r="I32" s="397">
        <v>393397.9074886092</v>
      </c>
      <c r="J32" s="397">
        <v>462120.12189196458</v>
      </c>
      <c r="K32" s="397">
        <v>448071.30817295756</v>
      </c>
      <c r="L32" s="630" t="s">
        <v>36</v>
      </c>
    </row>
    <row r="33" spans="1:12" ht="23.1" customHeight="1">
      <c r="A33" s="1157">
        <v>29</v>
      </c>
      <c r="B33" s="232" t="s">
        <v>219</v>
      </c>
      <c r="C33" s="235">
        <v>613421</v>
      </c>
      <c r="D33" s="397">
        <v>675425</v>
      </c>
      <c r="E33" s="397">
        <v>801898</v>
      </c>
      <c r="F33" s="397">
        <v>695438</v>
      </c>
      <c r="G33" s="397">
        <v>711259</v>
      </c>
      <c r="H33" s="397">
        <v>825269</v>
      </c>
      <c r="I33" s="397">
        <v>795920.0096202615</v>
      </c>
      <c r="J33" s="397">
        <v>889820.85205882741</v>
      </c>
      <c r="K33" s="397">
        <v>888724.33047473768</v>
      </c>
      <c r="L33" s="630" t="s">
        <v>37</v>
      </c>
    </row>
    <row r="34" spans="1:12" ht="33" customHeight="1">
      <c r="A34" s="1157">
        <v>30</v>
      </c>
      <c r="B34" s="821" t="s">
        <v>1610</v>
      </c>
      <c r="C34" s="235">
        <v>4838</v>
      </c>
      <c r="D34" s="397">
        <v>4726</v>
      </c>
      <c r="E34" s="397">
        <v>5524</v>
      </c>
      <c r="F34" s="5">
        <v>5864</v>
      </c>
      <c r="G34" s="397">
        <v>6081</v>
      </c>
      <c r="H34" s="397">
        <v>7709</v>
      </c>
      <c r="I34" s="397">
        <v>6666.4476387061804</v>
      </c>
      <c r="J34" s="397">
        <v>17038.471297283475</v>
      </c>
      <c r="K34" s="397">
        <v>15237.041509283921</v>
      </c>
      <c r="L34" s="862" t="s">
        <v>121</v>
      </c>
    </row>
    <row r="35" spans="1:12" ht="23.1" customHeight="1">
      <c r="A35" s="1157">
        <v>31</v>
      </c>
      <c r="B35" s="232" t="s">
        <v>1158</v>
      </c>
      <c r="C35" s="31">
        <v>347</v>
      </c>
      <c r="D35" s="5">
        <v>401</v>
      </c>
      <c r="E35" s="5">
        <v>687</v>
      </c>
      <c r="F35" s="397">
        <v>741</v>
      </c>
      <c r="G35" s="397">
        <v>773</v>
      </c>
      <c r="H35" s="397">
        <v>1142</v>
      </c>
      <c r="I35" s="397">
        <v>1134.6843590199171</v>
      </c>
      <c r="J35" s="397">
        <v>2820.5918925403912</v>
      </c>
      <c r="K35" s="397">
        <v>2863.2581187745459</v>
      </c>
      <c r="L35" s="630" t="s">
        <v>38</v>
      </c>
    </row>
    <row r="36" spans="1:12" ht="23.1" customHeight="1">
      <c r="A36" s="1157">
        <v>32</v>
      </c>
      <c r="B36" s="232" t="s">
        <v>1149</v>
      </c>
      <c r="C36" s="235">
        <v>3350</v>
      </c>
      <c r="D36" s="397">
        <v>3687</v>
      </c>
      <c r="E36" s="397">
        <v>3731</v>
      </c>
      <c r="F36" s="5">
        <v>5286</v>
      </c>
      <c r="G36" s="397">
        <v>5615</v>
      </c>
      <c r="H36" s="397">
        <v>7932</v>
      </c>
      <c r="I36" s="397">
        <v>7852.8485660492624</v>
      </c>
      <c r="J36" s="397">
        <v>10908.33678395801</v>
      </c>
      <c r="K36" s="397">
        <v>11111.602486082686</v>
      </c>
      <c r="L36" s="630" t="s">
        <v>107</v>
      </c>
    </row>
    <row r="37" spans="1:12" ht="23.1" customHeight="1">
      <c r="A37" s="1157">
        <v>33</v>
      </c>
      <c r="B37" s="232" t="s">
        <v>1148</v>
      </c>
      <c r="C37" s="31">
        <v>194</v>
      </c>
      <c r="D37" s="5">
        <v>250</v>
      </c>
      <c r="E37" s="5">
        <v>611</v>
      </c>
      <c r="F37" s="397">
        <v>1100</v>
      </c>
      <c r="G37" s="397">
        <v>1208</v>
      </c>
      <c r="H37" s="397">
        <v>2056</v>
      </c>
      <c r="I37" s="397">
        <v>2292.8796394174556</v>
      </c>
      <c r="J37" s="397">
        <v>3013.5297740346523</v>
      </c>
      <c r="K37" s="397">
        <v>3197.0442416211313</v>
      </c>
      <c r="L37" s="630" t="s">
        <v>4</v>
      </c>
    </row>
    <row r="38" spans="1:12" ht="23.1" customHeight="1">
      <c r="A38" s="1157">
        <v>34</v>
      </c>
      <c r="B38" s="232" t="s">
        <v>1157</v>
      </c>
      <c r="C38" s="235">
        <v>1204</v>
      </c>
      <c r="D38" s="397">
        <v>1183</v>
      </c>
      <c r="E38" s="397">
        <v>4321</v>
      </c>
      <c r="F38" s="5">
        <v>8941</v>
      </c>
      <c r="G38" s="397">
        <v>8566</v>
      </c>
      <c r="H38" s="397">
        <v>14951</v>
      </c>
      <c r="I38" s="397">
        <v>15151.672490423482</v>
      </c>
      <c r="J38" s="397">
        <v>19265.931541767506</v>
      </c>
      <c r="K38" s="397">
        <v>19404.126274958337</v>
      </c>
      <c r="L38" s="630" t="s">
        <v>24</v>
      </c>
    </row>
    <row r="39" spans="1:12" ht="23.1" customHeight="1">
      <c r="A39" s="1157">
        <v>35</v>
      </c>
      <c r="B39" s="232" t="s">
        <v>1609</v>
      </c>
      <c r="C39" s="31">
        <v>303</v>
      </c>
      <c r="D39" s="5">
        <v>373</v>
      </c>
      <c r="E39" s="5">
        <v>566</v>
      </c>
      <c r="F39" s="397">
        <v>808</v>
      </c>
      <c r="G39" s="397">
        <v>855</v>
      </c>
      <c r="H39" s="397">
        <v>669</v>
      </c>
      <c r="I39" s="397">
        <v>644.05698756708591</v>
      </c>
      <c r="J39" s="397">
        <v>954.36872717669985</v>
      </c>
      <c r="K39" s="397">
        <v>981.6395538337141</v>
      </c>
      <c r="L39" s="630" t="s">
        <v>7</v>
      </c>
    </row>
    <row r="40" spans="1:12" ht="23.1" customHeight="1">
      <c r="A40" s="1157">
        <v>36</v>
      </c>
      <c r="B40" s="232" t="s">
        <v>873</v>
      </c>
      <c r="C40" s="235">
        <v>3968</v>
      </c>
      <c r="D40" s="397">
        <v>4109</v>
      </c>
      <c r="E40" s="397">
        <v>4038</v>
      </c>
      <c r="F40" s="5">
        <v>4996</v>
      </c>
      <c r="G40" s="397">
        <v>5073</v>
      </c>
      <c r="H40" s="397">
        <v>7528</v>
      </c>
      <c r="I40" s="397">
        <v>7676.6538941427407</v>
      </c>
      <c r="J40" s="397">
        <v>8087.9609785229513</v>
      </c>
      <c r="K40" s="397">
        <v>8252.6312987024412</v>
      </c>
      <c r="L40" s="630" t="s">
        <v>10</v>
      </c>
    </row>
    <row r="41" spans="1:12" ht="23.1" customHeight="1">
      <c r="A41" s="2266" t="s">
        <v>143</v>
      </c>
      <c r="B41" s="2267"/>
      <c r="C41" s="820">
        <f>SUM(C5:C40)+2</f>
        <v>14874825</v>
      </c>
      <c r="D41" s="820">
        <f>SUM(D5:D40)+1</f>
        <v>16435614</v>
      </c>
      <c r="E41" s="820">
        <f>SUM(E5:E40)-3</f>
        <v>18708278</v>
      </c>
      <c r="F41" s="820">
        <f>SUM(F5:F40)+4</f>
        <v>20793123</v>
      </c>
      <c r="G41" s="820">
        <v>22042136</v>
      </c>
      <c r="H41" s="820">
        <v>24541529</v>
      </c>
      <c r="I41" s="820">
        <v>25977298.776112404</v>
      </c>
      <c r="J41" s="819">
        <f>SUM(J5:J40)</f>
        <v>30455100.157396112</v>
      </c>
      <c r="K41" s="819">
        <f>SUM(K5:K40)</f>
        <v>31108754.098538902</v>
      </c>
      <c r="L41" s="818" t="s">
        <v>0</v>
      </c>
    </row>
    <row r="42" spans="1:12" s="817" customFormat="1" ht="42" customHeight="1">
      <c r="A42" s="2263" t="s">
        <v>2187</v>
      </c>
      <c r="B42" s="2264"/>
      <c r="C42" s="2264"/>
      <c r="D42" s="2264"/>
      <c r="E42" s="2264"/>
      <c r="F42" s="2264"/>
      <c r="G42" s="2264"/>
      <c r="H42" s="2264"/>
      <c r="I42" s="2264"/>
      <c r="J42" s="2264"/>
      <c r="K42" s="2264"/>
      <c r="L42" s="2265"/>
    </row>
    <row r="43" spans="1:12" ht="23.25" customHeight="1" thickBot="1">
      <c r="A43" s="442" t="s">
        <v>636</v>
      </c>
      <c r="B43" s="1355"/>
      <c r="C43" s="1355"/>
      <c r="D43" s="1355"/>
      <c r="E43" s="1355"/>
      <c r="F43" s="1355"/>
      <c r="G43" s="1355"/>
      <c r="H43" s="1355"/>
      <c r="I43" s="1355"/>
      <c r="J43" s="1355"/>
      <c r="K43" s="1355"/>
      <c r="L43" s="1356"/>
    </row>
    <row r="44" spans="1:12" ht="30.75" customHeight="1" thickTop="1"/>
    <row r="49" spans="3:3">
      <c r="C49" s="815" t="s">
        <v>1608</v>
      </c>
    </row>
  </sheetData>
  <mergeCells count="5">
    <mergeCell ref="A1:L1"/>
    <mergeCell ref="A2:L2"/>
    <mergeCell ref="A3:L3"/>
    <mergeCell ref="A42:L42"/>
    <mergeCell ref="A41:B41"/>
  </mergeCells>
  <conditionalFormatting sqref="N4:XFD41 M41">
    <cfRule type="expression" dxfId="56" priority="4">
      <formula>MOD(ROW(),3)=1</formula>
    </cfRule>
  </conditionalFormatting>
  <conditionalFormatting sqref="A5:L41">
    <cfRule type="expression" dxfId="55" priority="1">
      <formula>MOD(ROW(),3)=1</formula>
    </cfRule>
    <cfRule type="expression" priority="2">
      <formula>MOD(ROW(),3)=1</formula>
    </cfRule>
  </conditionalFormatting>
  <pageMargins left="0.6692913385826772" right="0.15748031496062992" top="0.55118110236220474" bottom="0.74803149606299213" header="0.31496062992125984" footer="0.31496062992125984"/>
  <pageSetup paperSize="9" scale="72" orientation="portrait" r:id="rId1"/>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9DDDB0-0C59-490B-BE9F-C8932BF8B4D5}">
  <dimension ref="A1:AE45"/>
  <sheetViews>
    <sheetView view="pageBreakPreview" zoomScaleSheetLayoutView="100" workbookViewId="0">
      <selection activeCell="S17" sqref="S17"/>
    </sheetView>
  </sheetViews>
  <sheetFormatPr defaultColWidth="9.140625" defaultRowHeight="15"/>
  <cols>
    <col min="1" max="1" width="6.7109375" style="491" customWidth="1"/>
    <col min="2" max="2" width="20.140625" style="1" customWidth="1"/>
    <col min="3" max="4" width="11.7109375" style="1" hidden="1" customWidth="1"/>
    <col min="5" max="11" width="10.42578125" style="1" customWidth="1"/>
    <col min="12" max="12" width="19.28515625" style="29" customWidth="1"/>
    <col min="13" max="16384" width="9.140625" style="1"/>
  </cols>
  <sheetData>
    <row r="1" spans="1:31" s="33" customFormat="1" ht="20.25" customHeight="1" thickTop="1">
      <c r="A1" s="2220" t="s">
        <v>2773</v>
      </c>
      <c r="B1" s="1869"/>
      <c r="C1" s="1869"/>
      <c r="D1" s="1869"/>
      <c r="E1" s="1869"/>
      <c r="F1" s="1869"/>
      <c r="G1" s="1869"/>
      <c r="H1" s="1869"/>
      <c r="I1" s="1869"/>
      <c r="J1" s="1869"/>
      <c r="K1" s="1869"/>
      <c r="L1" s="1870"/>
    </row>
    <row r="2" spans="1:31" s="33" customFormat="1" ht="20.25" customHeight="1">
      <c r="A2" s="2224" t="s">
        <v>2774</v>
      </c>
      <c r="B2" s="2193"/>
      <c r="C2" s="2193"/>
      <c r="D2" s="2193"/>
      <c r="E2" s="2193"/>
      <c r="F2" s="2193"/>
      <c r="G2" s="2193"/>
      <c r="H2" s="2193"/>
      <c r="I2" s="2193"/>
      <c r="J2" s="2193"/>
      <c r="K2" s="2193"/>
      <c r="L2" s="2225"/>
    </row>
    <row r="3" spans="1:31" s="7" customFormat="1" ht="20.25" customHeight="1">
      <c r="A3" s="2261" t="s">
        <v>1616</v>
      </c>
      <c r="B3" s="2249"/>
      <c r="C3" s="2249"/>
      <c r="D3" s="2249"/>
      <c r="E3" s="2249"/>
      <c r="F3" s="2249"/>
      <c r="G3" s="2249"/>
      <c r="H3" s="2249"/>
      <c r="I3" s="2249"/>
      <c r="J3" s="2249"/>
      <c r="K3" s="2249"/>
      <c r="L3" s="2262"/>
    </row>
    <row r="4" spans="1:31" s="96" customFormat="1" ht="33.75" customHeight="1">
      <c r="A4" s="1122" t="s">
        <v>688</v>
      </c>
      <c r="B4" s="79" t="s">
        <v>141</v>
      </c>
      <c r="C4" s="1155" t="s">
        <v>2</v>
      </c>
      <c r="D4" s="79" t="s">
        <v>3</v>
      </c>
      <c r="E4" s="79" t="s">
        <v>13</v>
      </c>
      <c r="F4" s="79" t="s">
        <v>41</v>
      </c>
      <c r="G4" s="79" t="s">
        <v>42</v>
      </c>
      <c r="H4" s="79" t="s">
        <v>129</v>
      </c>
      <c r="I4" s="79" t="s">
        <v>142</v>
      </c>
      <c r="J4" s="79" t="s">
        <v>276</v>
      </c>
      <c r="K4" s="79" t="s">
        <v>522</v>
      </c>
      <c r="L4" s="1127" t="s">
        <v>1612</v>
      </c>
      <c r="N4" s="95"/>
      <c r="AE4" s="753" t="s">
        <v>520</v>
      </c>
    </row>
    <row r="5" spans="1:31" s="29" customFormat="1" ht="21" customHeight="1">
      <c r="A5" s="220">
        <v>1</v>
      </c>
      <c r="B5" s="821" t="s">
        <v>680</v>
      </c>
      <c r="C5" s="832">
        <v>35523</v>
      </c>
      <c r="D5" s="831">
        <v>35025</v>
      </c>
      <c r="E5" s="831">
        <v>47150</v>
      </c>
      <c r="F5" s="831">
        <v>118359</v>
      </c>
      <c r="G5" s="831">
        <v>141725</v>
      </c>
      <c r="H5" s="831">
        <v>382323</v>
      </c>
      <c r="I5" s="831">
        <v>362058.92016904673</v>
      </c>
      <c r="J5" s="831">
        <v>603038.14580702258</v>
      </c>
      <c r="K5" s="831">
        <v>542755.95543751831</v>
      </c>
      <c r="L5" s="862" t="s">
        <v>14</v>
      </c>
      <c r="N5" s="1"/>
    </row>
    <row r="6" spans="1:31" s="29" customFormat="1" ht="21" customHeight="1">
      <c r="A6" s="220">
        <v>2</v>
      </c>
      <c r="B6" s="821" t="s">
        <v>912</v>
      </c>
      <c r="C6" s="832">
        <v>158779</v>
      </c>
      <c r="D6" s="831">
        <v>171226</v>
      </c>
      <c r="E6" s="831">
        <v>244509</v>
      </c>
      <c r="F6" s="831">
        <v>269225</v>
      </c>
      <c r="G6" s="831">
        <v>331789</v>
      </c>
      <c r="H6" s="831">
        <v>346805</v>
      </c>
      <c r="I6" s="831">
        <v>349965.17346080701</v>
      </c>
      <c r="J6" s="831">
        <v>544791.3214974287</v>
      </c>
      <c r="K6" s="831">
        <v>551254.18631945888</v>
      </c>
      <c r="L6" s="862" t="s">
        <v>15</v>
      </c>
      <c r="N6" s="1"/>
    </row>
    <row r="7" spans="1:31" s="29" customFormat="1" ht="21" customHeight="1">
      <c r="A7" s="220">
        <v>3</v>
      </c>
      <c r="B7" s="821" t="s">
        <v>215</v>
      </c>
      <c r="C7" s="832">
        <v>76502</v>
      </c>
      <c r="D7" s="831">
        <v>88676</v>
      </c>
      <c r="E7" s="831">
        <v>126648</v>
      </c>
      <c r="F7" s="831">
        <v>105791</v>
      </c>
      <c r="G7" s="831">
        <v>111843</v>
      </c>
      <c r="H7" s="831">
        <v>77249</v>
      </c>
      <c r="I7" s="831">
        <v>106381.52090419208</v>
      </c>
      <c r="J7" s="831">
        <v>119012.17165437841</v>
      </c>
      <c r="K7" s="831">
        <v>126995.97362095419</v>
      </c>
      <c r="L7" s="862" t="s">
        <v>21</v>
      </c>
      <c r="N7" s="1"/>
    </row>
    <row r="8" spans="1:31" s="29" customFormat="1" ht="21" customHeight="1">
      <c r="A8" s="220">
        <v>4</v>
      </c>
      <c r="B8" s="821" t="s">
        <v>809</v>
      </c>
      <c r="C8" s="832">
        <v>159693</v>
      </c>
      <c r="D8" s="831">
        <v>167648</v>
      </c>
      <c r="E8" s="831">
        <v>171505</v>
      </c>
      <c r="F8" s="831">
        <v>162075</v>
      </c>
      <c r="G8" s="831">
        <v>173968</v>
      </c>
      <c r="H8" s="831">
        <v>261187</v>
      </c>
      <c r="I8" s="831">
        <v>263802.4288290352</v>
      </c>
      <c r="J8" s="831">
        <v>313964.82654968795</v>
      </c>
      <c r="K8" s="831">
        <v>320810.07878370839</v>
      </c>
      <c r="L8" s="862" t="s">
        <v>22</v>
      </c>
      <c r="N8" s="1"/>
    </row>
    <row r="9" spans="1:31" s="29" customFormat="1" ht="21" customHeight="1">
      <c r="A9" s="220">
        <v>5</v>
      </c>
      <c r="B9" s="821" t="s">
        <v>911</v>
      </c>
      <c r="C9" s="832">
        <v>255902</v>
      </c>
      <c r="D9" s="831">
        <v>245968</v>
      </c>
      <c r="E9" s="831">
        <v>433915</v>
      </c>
      <c r="F9" s="831">
        <v>461048</v>
      </c>
      <c r="G9" s="831">
        <v>581660</v>
      </c>
      <c r="H9" s="831">
        <v>928789</v>
      </c>
      <c r="I9" s="831">
        <v>785480.38292927935</v>
      </c>
      <c r="J9" s="831">
        <v>1067055.2514351767</v>
      </c>
      <c r="K9" s="831">
        <v>1127118.0839216702</v>
      </c>
      <c r="L9" s="862" t="s">
        <v>23</v>
      </c>
      <c r="N9" s="1"/>
    </row>
    <row r="10" spans="1:31" s="29" customFormat="1" ht="21" customHeight="1">
      <c r="A10" s="220">
        <v>6</v>
      </c>
      <c r="B10" s="821" t="s">
        <v>216</v>
      </c>
      <c r="C10" s="832">
        <v>12172</v>
      </c>
      <c r="D10" s="831">
        <v>12953</v>
      </c>
      <c r="E10" s="831">
        <v>13955</v>
      </c>
      <c r="F10" s="831">
        <v>18371</v>
      </c>
      <c r="G10" s="831">
        <v>26592</v>
      </c>
      <c r="H10" s="831">
        <v>162345</v>
      </c>
      <c r="I10" s="831">
        <v>50399.599823424869</v>
      </c>
      <c r="J10" s="831">
        <v>73914.339228423254</v>
      </c>
      <c r="K10" s="831">
        <v>79476.541520541839</v>
      </c>
      <c r="L10" s="862" t="s">
        <v>16</v>
      </c>
      <c r="N10" s="1"/>
    </row>
    <row r="11" spans="1:31" s="29" customFormat="1" ht="21" customHeight="1">
      <c r="A11" s="220">
        <v>7</v>
      </c>
      <c r="B11" s="821" t="s">
        <v>877</v>
      </c>
      <c r="C11" s="832">
        <v>361282</v>
      </c>
      <c r="D11" s="831">
        <v>465031</v>
      </c>
      <c r="E11" s="831">
        <v>349463</v>
      </c>
      <c r="F11" s="831">
        <v>354510</v>
      </c>
      <c r="G11" s="831">
        <v>798418</v>
      </c>
      <c r="H11" s="831">
        <v>1172192</v>
      </c>
      <c r="I11" s="831">
        <v>1745850.9287110192</v>
      </c>
      <c r="J11" s="831">
        <v>2205537.2591353902</v>
      </c>
      <c r="K11" s="831">
        <v>1916843.3035336151</v>
      </c>
      <c r="L11" s="862" t="s">
        <v>17</v>
      </c>
      <c r="N11" s="1"/>
    </row>
    <row r="12" spans="1:31" s="29" customFormat="1" ht="21" customHeight="1">
      <c r="A12" s="220">
        <v>8</v>
      </c>
      <c r="B12" s="821" t="s">
        <v>1156</v>
      </c>
      <c r="C12" s="832">
        <v>426552</v>
      </c>
      <c r="D12" s="831">
        <v>467836</v>
      </c>
      <c r="E12" s="831">
        <v>449674</v>
      </c>
      <c r="F12" s="831">
        <v>431041</v>
      </c>
      <c r="G12" s="831">
        <v>474068</v>
      </c>
      <c r="H12" s="831">
        <v>404987</v>
      </c>
      <c r="I12" s="831">
        <v>479599.35414044245</v>
      </c>
      <c r="J12" s="831">
        <v>547256.14724604145</v>
      </c>
      <c r="K12" s="831">
        <v>475594.85387206217</v>
      </c>
      <c r="L12" s="862" t="s">
        <v>25</v>
      </c>
      <c r="N12" s="1"/>
    </row>
    <row r="13" spans="1:31" s="29" customFormat="1" ht="21" customHeight="1">
      <c r="A13" s="220">
        <v>9</v>
      </c>
      <c r="B13" s="821" t="s">
        <v>1155</v>
      </c>
      <c r="C13" s="832">
        <v>273359</v>
      </c>
      <c r="D13" s="831">
        <v>270285</v>
      </c>
      <c r="E13" s="831">
        <v>256430</v>
      </c>
      <c r="F13" s="831">
        <v>343441</v>
      </c>
      <c r="G13" s="831">
        <v>322943</v>
      </c>
      <c r="H13" s="831">
        <v>542176</v>
      </c>
      <c r="I13" s="831">
        <v>411688.20186068816</v>
      </c>
      <c r="J13" s="831">
        <v>220864.43170072089</v>
      </c>
      <c r="K13" s="831">
        <v>349633.84944039705</v>
      </c>
      <c r="L13" s="862" t="s">
        <v>1615</v>
      </c>
      <c r="N13" s="1"/>
    </row>
    <row r="14" spans="1:31" s="29" customFormat="1" ht="21" customHeight="1">
      <c r="A14" s="220">
        <v>10</v>
      </c>
      <c r="B14" s="821" t="s">
        <v>1154</v>
      </c>
      <c r="C14" s="832">
        <v>62843</v>
      </c>
      <c r="D14" s="831">
        <v>77791</v>
      </c>
      <c r="E14" s="831">
        <v>70858</v>
      </c>
      <c r="F14" s="831">
        <v>73279</v>
      </c>
      <c r="G14" s="831">
        <v>77331</v>
      </c>
      <c r="H14" s="831">
        <v>71345</v>
      </c>
      <c r="I14" s="831">
        <v>135553.21359385023</v>
      </c>
      <c r="J14" s="831">
        <v>150728.80504939184</v>
      </c>
      <c r="K14" s="831">
        <v>149377.59390208381</v>
      </c>
      <c r="L14" s="862" t="s">
        <v>632</v>
      </c>
      <c r="N14" s="1"/>
    </row>
    <row r="15" spans="1:31" s="29" customFormat="1" ht="21" customHeight="1">
      <c r="A15" s="220">
        <v>11</v>
      </c>
      <c r="B15" s="821" t="s">
        <v>861</v>
      </c>
      <c r="C15" s="832">
        <v>196759</v>
      </c>
      <c r="D15" s="831">
        <v>211212</v>
      </c>
      <c r="E15" s="831">
        <v>366329</v>
      </c>
      <c r="F15" s="831">
        <v>1224580</v>
      </c>
      <c r="G15" s="831">
        <v>562157</v>
      </c>
      <c r="H15" s="831">
        <v>659064</v>
      </c>
      <c r="I15" s="831">
        <v>726218.64367583499</v>
      </c>
      <c r="J15" s="831">
        <v>798378.00224717834</v>
      </c>
      <c r="K15" s="831">
        <v>356164.89327968186</v>
      </c>
      <c r="L15" s="862" t="s">
        <v>27</v>
      </c>
      <c r="N15" s="1"/>
    </row>
    <row r="16" spans="1:31" s="29" customFormat="1" ht="21" customHeight="1">
      <c r="A16" s="220">
        <v>12</v>
      </c>
      <c r="B16" s="821" t="s">
        <v>140</v>
      </c>
      <c r="C16" s="832">
        <v>219936</v>
      </c>
      <c r="D16" s="831">
        <v>166535</v>
      </c>
      <c r="E16" s="831">
        <v>200160</v>
      </c>
      <c r="F16" s="831">
        <v>191244</v>
      </c>
      <c r="G16" s="831">
        <v>392260</v>
      </c>
      <c r="H16" s="831">
        <v>536689</v>
      </c>
      <c r="I16" s="831">
        <v>412353.78919593076</v>
      </c>
      <c r="J16" s="831">
        <v>575234.48544515681</v>
      </c>
      <c r="K16" s="831">
        <v>605866.85534560226</v>
      </c>
      <c r="L16" s="862" t="s">
        <v>28</v>
      </c>
      <c r="N16" s="1"/>
    </row>
    <row r="17" spans="1:14" s="29" customFormat="1" ht="21" customHeight="1">
      <c r="A17" s="220">
        <v>13</v>
      </c>
      <c r="B17" s="821" t="s">
        <v>874</v>
      </c>
      <c r="C17" s="832">
        <v>181563</v>
      </c>
      <c r="D17" s="831">
        <v>156439</v>
      </c>
      <c r="E17" s="831">
        <v>198453</v>
      </c>
      <c r="F17" s="831">
        <v>391892</v>
      </c>
      <c r="G17" s="831">
        <v>830174</v>
      </c>
      <c r="H17" s="831">
        <v>802877</v>
      </c>
      <c r="I17" s="831">
        <v>683834.91892049601</v>
      </c>
      <c r="J17" s="831">
        <v>1050927.4587890545</v>
      </c>
      <c r="K17" s="831">
        <v>1185907.3827891592</v>
      </c>
      <c r="L17" s="862" t="s">
        <v>6</v>
      </c>
      <c r="N17" s="1"/>
    </row>
    <row r="18" spans="1:14" s="29" customFormat="1" ht="21" customHeight="1">
      <c r="A18" s="220">
        <v>14</v>
      </c>
      <c r="B18" s="821" t="s">
        <v>909</v>
      </c>
      <c r="C18" s="832">
        <v>540282</v>
      </c>
      <c r="D18" s="831">
        <v>562281</v>
      </c>
      <c r="E18" s="831">
        <v>739911</v>
      </c>
      <c r="F18" s="831">
        <v>819286</v>
      </c>
      <c r="G18" s="831">
        <v>882350</v>
      </c>
      <c r="H18" s="831">
        <v>902453</v>
      </c>
      <c r="I18" s="831">
        <v>932613.332090599</v>
      </c>
      <c r="J18" s="831">
        <v>1120755.0087404929</v>
      </c>
      <c r="K18" s="831">
        <v>1134800.9084542594</v>
      </c>
      <c r="L18" s="862" t="s">
        <v>18</v>
      </c>
      <c r="N18" s="1"/>
    </row>
    <row r="19" spans="1:14" s="29" customFormat="1" ht="21" customHeight="1">
      <c r="A19" s="220">
        <v>15</v>
      </c>
      <c r="B19" s="821" t="s">
        <v>138</v>
      </c>
      <c r="C19" s="832">
        <v>850117</v>
      </c>
      <c r="D19" s="831">
        <v>897248</v>
      </c>
      <c r="E19" s="831">
        <v>1070991</v>
      </c>
      <c r="F19" s="831">
        <v>1158487</v>
      </c>
      <c r="G19" s="831">
        <v>1114193</v>
      </c>
      <c r="H19" s="831">
        <v>1476421</v>
      </c>
      <c r="I19" s="831">
        <v>2339025.2921234616</v>
      </c>
      <c r="J19" s="831">
        <v>3064740.2077447455</v>
      </c>
      <c r="K19" s="831">
        <v>3120030.3898282521</v>
      </c>
      <c r="L19" s="862" t="s">
        <v>29</v>
      </c>
      <c r="N19" s="1"/>
    </row>
    <row r="20" spans="1:14" s="29" customFormat="1" ht="21" customHeight="1">
      <c r="A20" s="220">
        <v>16</v>
      </c>
      <c r="B20" s="821" t="s">
        <v>1137</v>
      </c>
      <c r="C20" s="832">
        <v>37987</v>
      </c>
      <c r="D20" s="831">
        <v>38850</v>
      </c>
      <c r="E20" s="831">
        <v>36289</v>
      </c>
      <c r="F20" s="831">
        <v>36989</v>
      </c>
      <c r="G20" s="831">
        <v>34662</v>
      </c>
      <c r="H20" s="831">
        <v>49893</v>
      </c>
      <c r="I20" s="831">
        <v>64371.00376287134</v>
      </c>
      <c r="J20" s="831">
        <v>55654.248098329204</v>
      </c>
      <c r="K20" s="831">
        <v>47220.634973524066</v>
      </c>
      <c r="L20" s="862" t="s">
        <v>19</v>
      </c>
      <c r="N20" s="1"/>
    </row>
    <row r="21" spans="1:14" s="29" customFormat="1" ht="21" customHeight="1">
      <c r="A21" s="220">
        <v>17</v>
      </c>
      <c r="B21" s="821" t="s">
        <v>908</v>
      </c>
      <c r="C21" s="832">
        <v>45209</v>
      </c>
      <c r="D21" s="831">
        <v>40747</v>
      </c>
      <c r="E21" s="831">
        <v>93836</v>
      </c>
      <c r="F21" s="831">
        <v>91172</v>
      </c>
      <c r="G21" s="831">
        <v>96542</v>
      </c>
      <c r="H21" s="831">
        <v>125836</v>
      </c>
      <c r="I21" s="831">
        <v>123934.89951455061</v>
      </c>
      <c r="J21" s="831">
        <v>159010.167697614</v>
      </c>
      <c r="K21" s="831">
        <v>135407.21989097391</v>
      </c>
      <c r="L21" s="862" t="s">
        <v>8</v>
      </c>
      <c r="N21" s="1"/>
    </row>
    <row r="22" spans="1:14" s="29" customFormat="1" ht="21" customHeight="1">
      <c r="A22" s="220">
        <v>18</v>
      </c>
      <c r="B22" s="821" t="s">
        <v>217</v>
      </c>
      <c r="C22" s="832">
        <v>33639</v>
      </c>
      <c r="D22" s="831">
        <v>36181</v>
      </c>
      <c r="E22" s="831">
        <v>46001</v>
      </c>
      <c r="F22" s="831">
        <v>282739</v>
      </c>
      <c r="G22" s="831">
        <v>308296</v>
      </c>
      <c r="H22" s="831">
        <v>268186</v>
      </c>
      <c r="I22" s="831">
        <v>270768.94639471592</v>
      </c>
      <c r="J22" s="831">
        <v>284602.72149229149</v>
      </c>
      <c r="K22" s="831">
        <v>300381.46684054699</v>
      </c>
      <c r="L22" s="862" t="s">
        <v>30</v>
      </c>
      <c r="N22" s="1"/>
    </row>
    <row r="23" spans="1:14" s="29" customFormat="1" ht="21" customHeight="1">
      <c r="A23" s="220">
        <v>19</v>
      </c>
      <c r="B23" s="821" t="s">
        <v>139</v>
      </c>
      <c r="C23" s="832">
        <v>79111</v>
      </c>
      <c r="D23" s="831">
        <v>81308</v>
      </c>
      <c r="E23" s="831">
        <v>92423</v>
      </c>
      <c r="F23" s="831">
        <v>103464</v>
      </c>
      <c r="G23" s="831">
        <v>106498</v>
      </c>
      <c r="H23" s="831">
        <v>140521</v>
      </c>
      <c r="I23" s="831">
        <v>169701.87359628172</v>
      </c>
      <c r="J23" s="831">
        <v>261610.22146811351</v>
      </c>
      <c r="K23" s="831">
        <v>273465.63926889602</v>
      </c>
      <c r="L23" s="862" t="s">
        <v>31</v>
      </c>
      <c r="N23" s="1"/>
    </row>
    <row r="24" spans="1:14" s="29" customFormat="1" ht="21" customHeight="1">
      <c r="A24" s="220">
        <v>20</v>
      </c>
      <c r="B24" s="821" t="s">
        <v>856</v>
      </c>
      <c r="C24" s="832">
        <v>156152</v>
      </c>
      <c r="D24" s="831">
        <v>180401</v>
      </c>
      <c r="E24" s="831">
        <v>303888</v>
      </c>
      <c r="F24" s="831">
        <v>349877</v>
      </c>
      <c r="G24" s="831">
        <v>348692</v>
      </c>
      <c r="H24" s="831">
        <v>462679</v>
      </c>
      <c r="I24" s="831">
        <v>474264.30289900518</v>
      </c>
      <c r="J24" s="831">
        <v>768121.55417211249</v>
      </c>
      <c r="K24" s="831">
        <v>770427.69998911768</v>
      </c>
      <c r="L24" s="862" t="s">
        <v>9</v>
      </c>
      <c r="N24" s="1"/>
    </row>
    <row r="25" spans="1:14" s="29" customFormat="1" ht="21" customHeight="1">
      <c r="A25" s="220">
        <v>21</v>
      </c>
      <c r="B25" s="821" t="s">
        <v>1152</v>
      </c>
      <c r="C25" s="832">
        <v>766310</v>
      </c>
      <c r="D25" s="831">
        <v>824560</v>
      </c>
      <c r="E25" s="831">
        <v>780772</v>
      </c>
      <c r="F25" s="831">
        <v>928997</v>
      </c>
      <c r="G25" s="831">
        <v>933808</v>
      </c>
      <c r="H25" s="831">
        <v>666707</v>
      </c>
      <c r="I25" s="831">
        <v>671804.24755874637</v>
      </c>
      <c r="J25" s="831">
        <v>1103770.049729326</v>
      </c>
      <c r="K25" s="831">
        <v>1070311.6299374441</v>
      </c>
      <c r="L25" s="862" t="s">
        <v>32</v>
      </c>
      <c r="N25" s="1"/>
    </row>
    <row r="26" spans="1:14" s="29" customFormat="1" ht="21" customHeight="1">
      <c r="A26" s="220">
        <v>22</v>
      </c>
      <c r="B26" s="821" t="s">
        <v>872</v>
      </c>
      <c r="C26" s="832">
        <v>915515</v>
      </c>
      <c r="D26" s="831">
        <v>984612</v>
      </c>
      <c r="E26" s="831">
        <v>1318408</v>
      </c>
      <c r="F26" s="831">
        <v>1375189</v>
      </c>
      <c r="G26" s="831">
        <v>1405851</v>
      </c>
      <c r="H26" s="831">
        <v>1553467</v>
      </c>
      <c r="I26" s="831">
        <v>1505452.8570938781</v>
      </c>
      <c r="J26" s="831">
        <v>1527429.2863016955</v>
      </c>
      <c r="K26" s="831">
        <v>1670603.5854071875</v>
      </c>
      <c r="L26" s="862" t="s">
        <v>33</v>
      </c>
      <c r="N26" s="1"/>
    </row>
    <row r="27" spans="1:14" s="29" customFormat="1" ht="21" customHeight="1">
      <c r="A27" s="220">
        <v>23</v>
      </c>
      <c r="B27" s="821" t="s">
        <v>1139</v>
      </c>
      <c r="C27" s="832">
        <v>2363</v>
      </c>
      <c r="D27" s="831">
        <v>2316</v>
      </c>
      <c r="E27" s="831">
        <v>4618</v>
      </c>
      <c r="F27" s="831">
        <v>3073</v>
      </c>
      <c r="G27" s="831">
        <v>4484</v>
      </c>
      <c r="H27" s="831">
        <v>7497</v>
      </c>
      <c r="I27" s="831">
        <v>7569.2761643200383</v>
      </c>
      <c r="J27" s="831">
        <v>5289.1860200983747</v>
      </c>
      <c r="K27" s="831">
        <v>6043.1395649687975</v>
      </c>
      <c r="L27" s="862" t="s">
        <v>20</v>
      </c>
      <c r="N27" s="1"/>
    </row>
    <row r="28" spans="1:14" s="29" customFormat="1" ht="21" customHeight="1">
      <c r="A28" s="220">
        <v>24</v>
      </c>
      <c r="B28" s="821" t="s">
        <v>681</v>
      </c>
      <c r="C28" s="832">
        <v>96211</v>
      </c>
      <c r="D28" s="831">
        <v>80252</v>
      </c>
      <c r="E28" s="831">
        <v>86751</v>
      </c>
      <c r="F28" s="831">
        <v>94746</v>
      </c>
      <c r="G28" s="831">
        <v>105053</v>
      </c>
      <c r="H28" s="831">
        <v>107434</v>
      </c>
      <c r="I28" s="831">
        <v>269797.68957570317</v>
      </c>
      <c r="J28" s="831">
        <v>446774.5561129853</v>
      </c>
      <c r="K28" s="831">
        <v>503211.69945202634</v>
      </c>
      <c r="L28" s="862" t="s">
        <v>12</v>
      </c>
      <c r="N28" s="1"/>
    </row>
    <row r="29" spans="1:14" s="29" customFormat="1" ht="21" customHeight="1">
      <c r="A29" s="220">
        <v>25</v>
      </c>
      <c r="B29" s="821" t="s">
        <v>218</v>
      </c>
      <c r="C29" s="832">
        <v>44599</v>
      </c>
      <c r="D29" s="831">
        <v>30000</v>
      </c>
      <c r="E29" s="831">
        <v>60544</v>
      </c>
      <c r="F29" s="831">
        <v>89117</v>
      </c>
      <c r="G29" s="831">
        <v>93437</v>
      </c>
      <c r="H29" s="831">
        <v>177349</v>
      </c>
      <c r="I29" s="831">
        <v>193597.09581168095</v>
      </c>
      <c r="J29" s="831">
        <v>281858.14759765845</v>
      </c>
      <c r="K29" s="831">
        <v>247666.57140717976</v>
      </c>
      <c r="L29" s="862" t="s">
        <v>39</v>
      </c>
      <c r="N29" s="1"/>
    </row>
    <row r="30" spans="1:14" s="29" customFormat="1" ht="21" customHeight="1">
      <c r="A30" s="220">
        <v>26</v>
      </c>
      <c r="B30" s="821" t="s">
        <v>1136</v>
      </c>
      <c r="C30" s="832">
        <v>69102</v>
      </c>
      <c r="D30" s="831">
        <v>68105</v>
      </c>
      <c r="E30" s="831">
        <v>70706</v>
      </c>
      <c r="F30" s="831">
        <v>73049</v>
      </c>
      <c r="G30" s="831">
        <v>74277</v>
      </c>
      <c r="H30" s="831">
        <v>68420</v>
      </c>
      <c r="I30" s="831">
        <v>68549.08141308515</v>
      </c>
      <c r="J30" s="831">
        <v>154814.93373921126</v>
      </c>
      <c r="K30" s="831">
        <v>160411.2556406823</v>
      </c>
      <c r="L30" s="862" t="s">
        <v>34</v>
      </c>
      <c r="N30" s="1"/>
    </row>
    <row r="31" spans="1:14" s="29" customFormat="1" ht="21" customHeight="1">
      <c r="A31" s="220">
        <v>27</v>
      </c>
      <c r="B31" s="821" t="s">
        <v>907</v>
      </c>
      <c r="C31" s="832">
        <v>887054</v>
      </c>
      <c r="D31" s="831">
        <v>973087</v>
      </c>
      <c r="E31" s="831">
        <v>923957</v>
      </c>
      <c r="F31" s="831">
        <v>1061724</v>
      </c>
      <c r="G31" s="831">
        <v>1144593</v>
      </c>
      <c r="H31" s="831">
        <v>1275730</v>
      </c>
      <c r="I31" s="831">
        <v>1385113.1242592663</v>
      </c>
      <c r="J31" s="831">
        <v>1629138.1981704598</v>
      </c>
      <c r="K31" s="831">
        <v>1855546.2081128871</v>
      </c>
      <c r="L31" s="862" t="s">
        <v>35</v>
      </c>
      <c r="N31" s="1"/>
    </row>
    <row r="32" spans="1:14" s="29" customFormat="1" ht="21" customHeight="1">
      <c r="A32" s="220">
        <v>28</v>
      </c>
      <c r="B32" s="821" t="s">
        <v>1611</v>
      </c>
      <c r="C32" s="832">
        <v>174693</v>
      </c>
      <c r="D32" s="831">
        <v>214190</v>
      </c>
      <c r="E32" s="831">
        <v>273843</v>
      </c>
      <c r="F32" s="831">
        <v>249973</v>
      </c>
      <c r="G32" s="831">
        <v>245487</v>
      </c>
      <c r="H32" s="831">
        <v>233411</v>
      </c>
      <c r="I32" s="831">
        <v>252262.21636510326</v>
      </c>
      <c r="J32" s="831">
        <v>288971.67218190589</v>
      </c>
      <c r="K32" s="831">
        <v>250802.88247626123</v>
      </c>
      <c r="L32" s="862" t="s">
        <v>36</v>
      </c>
      <c r="N32" s="1"/>
    </row>
    <row r="33" spans="1:14" s="29" customFormat="1" ht="21" customHeight="1">
      <c r="A33" s="220">
        <v>29</v>
      </c>
      <c r="B33" s="821" t="s">
        <v>219</v>
      </c>
      <c r="C33" s="832">
        <v>300999</v>
      </c>
      <c r="D33" s="831">
        <v>330267</v>
      </c>
      <c r="E33" s="831">
        <v>401492</v>
      </c>
      <c r="F33" s="831">
        <v>323575</v>
      </c>
      <c r="G33" s="831">
        <v>333530</v>
      </c>
      <c r="H33" s="831">
        <v>422274</v>
      </c>
      <c r="I33" s="831">
        <v>423193.26028905879</v>
      </c>
      <c r="J33" s="831">
        <v>497121.16133156151</v>
      </c>
      <c r="K33" s="831">
        <v>478259.08208371839</v>
      </c>
      <c r="L33" s="862" t="s">
        <v>37</v>
      </c>
      <c r="N33" s="1"/>
    </row>
    <row r="34" spans="1:14" s="29" customFormat="1" ht="31.5" customHeight="1">
      <c r="A34" s="220">
        <v>30</v>
      </c>
      <c r="B34" s="821" t="s">
        <v>1610</v>
      </c>
      <c r="C34" s="832">
        <v>2658</v>
      </c>
      <c r="D34" s="831">
        <v>2178</v>
      </c>
      <c r="E34" s="831">
        <v>2579</v>
      </c>
      <c r="F34" s="831">
        <v>2894</v>
      </c>
      <c r="G34" s="831">
        <v>2960</v>
      </c>
      <c r="H34" s="831">
        <v>4451</v>
      </c>
      <c r="I34" s="831">
        <v>3698.1545513589999</v>
      </c>
      <c r="J34" s="831">
        <v>13883.24892203785</v>
      </c>
      <c r="K34" s="831">
        <v>11926.580521657084</v>
      </c>
      <c r="L34" s="862" t="s">
        <v>121</v>
      </c>
      <c r="N34" s="1"/>
    </row>
    <row r="35" spans="1:14" s="29" customFormat="1" ht="21" customHeight="1">
      <c r="A35" s="220">
        <v>31</v>
      </c>
      <c r="B35" s="821" t="s">
        <v>1158</v>
      </c>
      <c r="C35" s="553">
        <v>0</v>
      </c>
      <c r="D35" s="12">
        <v>0</v>
      </c>
      <c r="E35" s="12">
        <v>254</v>
      </c>
      <c r="F35" s="12">
        <v>279</v>
      </c>
      <c r="G35" s="831">
        <v>288</v>
      </c>
      <c r="H35" s="831">
        <v>637</v>
      </c>
      <c r="I35" s="831">
        <v>642.94151361179433</v>
      </c>
      <c r="J35" s="831">
        <v>2293.1903359993516</v>
      </c>
      <c r="K35" s="831">
        <v>2320.5635597449141</v>
      </c>
      <c r="L35" s="862" t="s">
        <v>38</v>
      </c>
      <c r="N35" s="1"/>
    </row>
    <row r="36" spans="1:14" s="29" customFormat="1" ht="34.5" customHeight="1">
      <c r="A36" s="220">
        <v>32</v>
      </c>
      <c r="B36" s="821" t="s">
        <v>1149</v>
      </c>
      <c r="C36" s="832">
        <v>1352</v>
      </c>
      <c r="D36" s="831">
        <v>1324</v>
      </c>
      <c r="E36" s="831">
        <v>1188</v>
      </c>
      <c r="F36" s="831">
        <v>2671</v>
      </c>
      <c r="G36" s="831">
        <v>2892</v>
      </c>
      <c r="H36" s="831">
        <v>5146</v>
      </c>
      <c r="I36" s="831">
        <v>5207.9013495301378</v>
      </c>
      <c r="J36" s="831">
        <v>8093.9981431714141</v>
      </c>
      <c r="K36" s="831">
        <v>8102.3492188831369</v>
      </c>
      <c r="L36" s="862" t="s">
        <v>107</v>
      </c>
      <c r="N36" s="1"/>
    </row>
    <row r="37" spans="1:14" s="29" customFormat="1" ht="21" customHeight="1">
      <c r="A37" s="220">
        <v>33</v>
      </c>
      <c r="B37" s="821" t="s">
        <v>1148</v>
      </c>
      <c r="C37" s="553">
        <v>0</v>
      </c>
      <c r="D37" s="12">
        <v>0</v>
      </c>
      <c r="E37" s="12">
        <v>323</v>
      </c>
      <c r="F37" s="12">
        <v>777</v>
      </c>
      <c r="G37" s="831">
        <v>841</v>
      </c>
      <c r="H37" s="831">
        <v>1651</v>
      </c>
      <c r="I37" s="831">
        <v>1670.7072675888001</v>
      </c>
      <c r="J37" s="831">
        <v>2223.7795457116567</v>
      </c>
      <c r="K37" s="831">
        <v>2226.0739558441928</v>
      </c>
      <c r="L37" s="862" t="s">
        <v>4</v>
      </c>
      <c r="N37" s="1"/>
    </row>
    <row r="38" spans="1:14" s="29" customFormat="1" ht="21" customHeight="1">
      <c r="A38" s="220">
        <v>34</v>
      </c>
      <c r="B38" s="821" t="s">
        <v>1157</v>
      </c>
      <c r="C38" s="553">
        <v>0</v>
      </c>
      <c r="D38" s="12">
        <v>0</v>
      </c>
      <c r="E38" s="831">
        <v>3240</v>
      </c>
      <c r="F38" s="831">
        <v>7853</v>
      </c>
      <c r="G38" s="831">
        <v>7533</v>
      </c>
      <c r="H38" s="831">
        <v>13964</v>
      </c>
      <c r="I38" s="831">
        <v>14100.437504708114</v>
      </c>
      <c r="J38" s="831">
        <v>18268.018752354055</v>
      </c>
      <c r="K38" s="831">
        <v>18486.079397755479</v>
      </c>
      <c r="L38" s="862" t="s">
        <v>24</v>
      </c>
      <c r="N38" s="1"/>
    </row>
    <row r="39" spans="1:14" s="29" customFormat="1" ht="21" customHeight="1">
      <c r="A39" s="220">
        <v>35</v>
      </c>
      <c r="B39" s="821" t="s">
        <v>1609</v>
      </c>
      <c r="C39" s="553">
        <v>0</v>
      </c>
      <c r="D39" s="12">
        <v>0</v>
      </c>
      <c r="E39" s="12">
        <v>161</v>
      </c>
      <c r="F39" s="12">
        <v>395</v>
      </c>
      <c r="G39" s="831">
        <v>428</v>
      </c>
      <c r="H39" s="831">
        <v>225</v>
      </c>
      <c r="I39" s="831">
        <v>227.51154903443955</v>
      </c>
      <c r="J39" s="831">
        <v>518.47094453178545</v>
      </c>
      <c r="K39" s="831">
        <v>519.00588289420239</v>
      </c>
      <c r="L39" s="862" t="s">
        <v>7</v>
      </c>
      <c r="N39" s="1"/>
    </row>
    <row r="40" spans="1:14" s="29" customFormat="1" ht="21" customHeight="1">
      <c r="A40" s="220">
        <v>36</v>
      </c>
      <c r="B40" s="821" t="s">
        <v>873</v>
      </c>
      <c r="C40" s="553">
        <v>966</v>
      </c>
      <c r="D40" s="12">
        <v>946</v>
      </c>
      <c r="E40" s="12">
        <v>911</v>
      </c>
      <c r="F40" s="831">
        <v>2059</v>
      </c>
      <c r="G40" s="831">
        <v>2228</v>
      </c>
      <c r="H40" s="831">
        <v>4797</v>
      </c>
      <c r="I40" s="831">
        <v>4855.2172861909248</v>
      </c>
      <c r="J40" s="831">
        <v>5269.7944476574767</v>
      </c>
      <c r="K40" s="831">
        <v>5275.2316187117776</v>
      </c>
      <c r="L40" s="862" t="s">
        <v>10</v>
      </c>
      <c r="N40" s="1"/>
    </row>
    <row r="41" spans="1:14" s="6" customFormat="1" ht="21" customHeight="1">
      <c r="A41" s="218"/>
      <c r="B41" s="830" t="s">
        <v>143</v>
      </c>
      <c r="C41" s="829">
        <v>7425186</v>
      </c>
      <c r="D41" s="264">
        <v>7885477</v>
      </c>
      <c r="E41" s="264">
        <v>9242134</v>
      </c>
      <c r="F41" s="264">
        <v>11203241</v>
      </c>
      <c r="G41" s="827">
        <v>12073851</v>
      </c>
      <c r="H41" s="827">
        <f>SUM(H5:H40)</f>
        <v>14317177</v>
      </c>
      <c r="I41" s="827">
        <v>15695608.446148392</v>
      </c>
      <c r="J41" s="828">
        <f>SUM(J5:J40)</f>
        <v>19970914.467475116</v>
      </c>
      <c r="K41" s="264">
        <f>SUM(K5:K40)</f>
        <v>19861245.449249875</v>
      </c>
      <c r="L41" s="1212" t="s">
        <v>0</v>
      </c>
    </row>
    <row r="42" spans="1:14" ht="46.15" customHeight="1">
      <c r="A42" s="2268" t="s">
        <v>2188</v>
      </c>
      <c r="B42" s="2269"/>
      <c r="C42" s="2269"/>
      <c r="D42" s="2269"/>
      <c r="E42" s="2269"/>
      <c r="F42" s="2269"/>
      <c r="G42" s="2269"/>
      <c r="H42" s="2269"/>
      <c r="I42" s="2269"/>
      <c r="J42" s="2269"/>
      <c r="K42" s="2269"/>
      <c r="L42" s="2270"/>
    </row>
    <row r="43" spans="1:14" ht="15.75" thickBot="1">
      <c r="A43" s="2271" t="s">
        <v>636</v>
      </c>
      <c r="B43" s="2272"/>
      <c r="C43" s="2272"/>
      <c r="D43" s="2272"/>
      <c r="E43" s="2272"/>
      <c r="F43" s="2272"/>
      <c r="G43" s="2272"/>
      <c r="H43" s="2272"/>
      <c r="I43" s="2272"/>
      <c r="J43" s="2272"/>
      <c r="K43" s="2272"/>
      <c r="L43" s="2273"/>
    </row>
    <row r="44" spans="1:14" ht="15.75" thickTop="1"/>
    <row r="45" spans="1:14">
      <c r="J45" s="1779"/>
      <c r="K45" s="1779"/>
    </row>
  </sheetData>
  <mergeCells count="5">
    <mergeCell ref="A1:L1"/>
    <mergeCell ref="A2:L2"/>
    <mergeCell ref="A3:L3"/>
    <mergeCell ref="A42:L42"/>
    <mergeCell ref="A43:L43"/>
  </mergeCells>
  <conditionalFormatting sqref="A5:L41">
    <cfRule type="expression" dxfId="54" priority="1">
      <formula>MOD(ROW(),3)=1</formula>
    </cfRule>
  </conditionalFormatting>
  <pageMargins left="0.6692913385826772" right="0.15748031496062992" top="0.55118110236220474" bottom="0.74803149606299213" header="0.31496062992125984" footer="0.31496062992125984"/>
  <pageSetup paperSize="9" scale="75" orientation="portrait" r:id="rId1"/>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18AB6-F1C5-4BB2-A2DB-564F95D531E4}">
  <dimension ref="A1:I155"/>
  <sheetViews>
    <sheetView view="pageBreakPreview" zoomScaleNormal="100" zoomScaleSheetLayoutView="100" workbookViewId="0">
      <selection activeCell="S17" sqref="S17"/>
    </sheetView>
  </sheetViews>
  <sheetFormatPr defaultColWidth="9.140625" defaultRowHeight="15"/>
  <cols>
    <col min="1" max="1" width="55.140625" style="1063" customWidth="1"/>
    <col min="2" max="2" width="9.85546875" style="713" customWidth="1"/>
    <col min="3" max="3" width="13.42578125" style="713" customWidth="1"/>
    <col min="4" max="4" width="11.28515625" style="713" customWidth="1"/>
    <col min="5" max="5" width="13.42578125" style="713" customWidth="1"/>
    <col min="6" max="6" width="11" style="713" bestFit="1" customWidth="1"/>
    <col min="7" max="7" width="13.42578125" style="713" customWidth="1"/>
    <col min="8" max="8" width="12" style="713" bestFit="1" customWidth="1"/>
    <col min="9" max="9" width="46.7109375" style="713" customWidth="1"/>
    <col min="10" max="10" width="13.28515625" style="713" customWidth="1"/>
    <col min="11" max="11" width="14.7109375" style="713" customWidth="1"/>
    <col min="12" max="12" width="14.5703125" style="713" customWidth="1"/>
    <col min="13" max="13" width="15.42578125" style="713" customWidth="1"/>
    <col min="14" max="14" width="26.7109375" style="713" customWidth="1"/>
    <col min="15" max="16384" width="9.140625" style="713"/>
  </cols>
  <sheetData>
    <row r="1" spans="1:9" ht="43.5" customHeight="1" thickTop="1">
      <c r="A1" s="1897" t="s">
        <v>2575</v>
      </c>
      <c r="B1" s="1898"/>
      <c r="C1" s="1898"/>
      <c r="D1" s="1898"/>
      <c r="E1" s="1898"/>
      <c r="F1" s="1898"/>
      <c r="G1" s="1898"/>
      <c r="H1" s="1898"/>
      <c r="I1" s="1899"/>
    </row>
    <row r="2" spans="1:9">
      <c r="A2" s="1900" t="s">
        <v>2574</v>
      </c>
      <c r="B2" s="1901"/>
      <c r="C2" s="1901"/>
      <c r="D2" s="1901"/>
      <c r="E2" s="1901"/>
      <c r="F2" s="1901"/>
      <c r="G2" s="1901"/>
      <c r="H2" s="1901"/>
      <c r="I2" s="1902"/>
    </row>
    <row r="3" spans="1:9" ht="16.5" customHeight="1">
      <c r="A3" s="1905" t="s">
        <v>2683</v>
      </c>
      <c r="B3" s="1905" t="s">
        <v>2686</v>
      </c>
      <c r="C3" s="1907" t="s">
        <v>522</v>
      </c>
      <c r="D3" s="1908"/>
      <c r="E3" s="1907" t="s">
        <v>652</v>
      </c>
      <c r="F3" s="1908"/>
      <c r="G3" s="1907" t="s">
        <v>1266</v>
      </c>
      <c r="H3" s="1908"/>
      <c r="I3" s="466" t="s">
        <v>2573</v>
      </c>
    </row>
    <row r="4" spans="1:9" ht="30.75" customHeight="1">
      <c r="A4" s="1906"/>
      <c r="B4" s="1906"/>
      <c r="C4" s="466" t="s">
        <v>2687</v>
      </c>
      <c r="D4" s="466" t="s">
        <v>2688</v>
      </c>
      <c r="E4" s="466" t="s">
        <v>2689</v>
      </c>
      <c r="F4" s="466" t="s">
        <v>2690</v>
      </c>
      <c r="G4" s="466" t="s">
        <v>2689</v>
      </c>
      <c r="H4" s="466" t="s">
        <v>2691</v>
      </c>
      <c r="I4" s="466"/>
    </row>
    <row r="5" spans="1:9" ht="25.5">
      <c r="A5" s="1781" t="s">
        <v>2611</v>
      </c>
      <c r="B5" s="627" t="s">
        <v>2516</v>
      </c>
      <c r="C5" s="1121">
        <v>4234</v>
      </c>
      <c r="D5" s="1121">
        <v>59872</v>
      </c>
      <c r="E5" s="1121">
        <v>3221</v>
      </c>
      <c r="F5" s="1121">
        <v>55212</v>
      </c>
      <c r="G5" s="1121">
        <v>3718</v>
      </c>
      <c r="H5" s="1121">
        <v>78311</v>
      </c>
      <c r="I5" s="1729" t="s">
        <v>2572</v>
      </c>
    </row>
    <row r="6" spans="1:9" ht="25.5">
      <c r="A6" s="1781" t="s">
        <v>2612</v>
      </c>
      <c r="B6" s="627" t="s">
        <v>2516</v>
      </c>
      <c r="C6" s="1121">
        <v>1040</v>
      </c>
      <c r="D6" s="1121">
        <v>32801</v>
      </c>
      <c r="E6" s="1121">
        <v>826</v>
      </c>
      <c r="F6" s="1121">
        <v>27872</v>
      </c>
      <c r="G6" s="1121">
        <v>1572</v>
      </c>
      <c r="H6" s="1121">
        <v>59681</v>
      </c>
      <c r="I6" s="1729" t="s">
        <v>2571</v>
      </c>
    </row>
    <row r="7" spans="1:9" ht="25.5">
      <c r="A7" s="1782" t="s">
        <v>2613</v>
      </c>
      <c r="B7" s="1506" t="s">
        <v>2516</v>
      </c>
      <c r="C7" s="1507">
        <v>1844483</v>
      </c>
      <c r="D7" s="1507">
        <v>49829384</v>
      </c>
      <c r="E7" s="1507">
        <v>2334786</v>
      </c>
      <c r="F7" s="1507">
        <v>57491719</v>
      </c>
      <c r="G7" s="1507">
        <v>2549567</v>
      </c>
      <c r="H7" s="1507">
        <v>82447635</v>
      </c>
      <c r="I7" s="1783" t="s">
        <v>2570</v>
      </c>
    </row>
    <row r="8" spans="1:9" ht="25.5">
      <c r="A8" s="1781" t="s">
        <v>2205</v>
      </c>
      <c r="B8" s="627" t="s">
        <v>2516</v>
      </c>
      <c r="C8" s="1121">
        <v>17618</v>
      </c>
      <c r="D8" s="1121">
        <v>425962</v>
      </c>
      <c r="E8" s="1121">
        <v>15217</v>
      </c>
      <c r="F8" s="1121">
        <v>428831</v>
      </c>
      <c r="G8" s="1121">
        <v>10419</v>
      </c>
      <c r="H8" s="1121">
        <v>344730</v>
      </c>
      <c r="I8" s="1729" t="s">
        <v>2205</v>
      </c>
    </row>
    <row r="9" spans="1:9" ht="25.5">
      <c r="A9" s="1781" t="s">
        <v>2614</v>
      </c>
      <c r="B9" s="627" t="s">
        <v>2516</v>
      </c>
      <c r="C9" s="1121">
        <v>7656</v>
      </c>
      <c r="D9" s="1121">
        <v>1265983</v>
      </c>
      <c r="E9" s="1121">
        <v>5977</v>
      </c>
      <c r="F9" s="1121">
        <v>1072406</v>
      </c>
      <c r="G9" s="1121">
        <v>4555</v>
      </c>
      <c r="H9" s="1121">
        <v>1499919</v>
      </c>
      <c r="I9" s="1729" t="s">
        <v>2569</v>
      </c>
    </row>
    <row r="10" spans="1:9" ht="25.5">
      <c r="A10" s="1782" t="s">
        <v>2615</v>
      </c>
      <c r="B10" s="1506" t="s">
        <v>2516</v>
      </c>
      <c r="C10" s="1507">
        <v>7</v>
      </c>
      <c r="D10" s="1507">
        <v>995</v>
      </c>
      <c r="E10" s="1507">
        <v>4</v>
      </c>
      <c r="F10" s="1507">
        <v>570</v>
      </c>
      <c r="G10" s="1507">
        <v>18</v>
      </c>
      <c r="H10" s="1507">
        <v>2119</v>
      </c>
      <c r="I10" s="1783" t="s">
        <v>2568</v>
      </c>
    </row>
    <row r="11" spans="1:9" ht="25.5">
      <c r="A11" s="1781" t="s">
        <v>2616</v>
      </c>
      <c r="B11" s="627" t="s">
        <v>2516</v>
      </c>
      <c r="C11" s="1121">
        <v>361163</v>
      </c>
      <c r="D11" s="1121">
        <v>12432333</v>
      </c>
      <c r="E11" s="1121">
        <v>308506</v>
      </c>
      <c r="F11" s="1121">
        <v>11851124</v>
      </c>
      <c r="G11" s="1121">
        <v>437511</v>
      </c>
      <c r="H11" s="1121">
        <v>16631390</v>
      </c>
      <c r="I11" s="1729" t="s">
        <v>2219</v>
      </c>
    </row>
    <row r="12" spans="1:9" ht="25.5">
      <c r="A12" s="1781" t="s">
        <v>2617</v>
      </c>
      <c r="B12" s="627" t="s">
        <v>2516</v>
      </c>
      <c r="C12" s="1121">
        <v>126794</v>
      </c>
      <c r="D12" s="1121">
        <v>1115239</v>
      </c>
      <c r="E12" s="1121">
        <v>65828</v>
      </c>
      <c r="F12" s="1121">
        <v>765439</v>
      </c>
      <c r="G12" s="1121">
        <v>93855</v>
      </c>
      <c r="H12" s="1121">
        <v>1134427</v>
      </c>
      <c r="I12" s="1729" t="s">
        <v>2567</v>
      </c>
    </row>
    <row r="13" spans="1:9" ht="25.5">
      <c r="A13" s="1782" t="s">
        <v>2618</v>
      </c>
      <c r="B13" s="1506" t="s">
        <v>2516</v>
      </c>
      <c r="C13" s="1507">
        <v>15436</v>
      </c>
      <c r="D13" s="1507">
        <v>427967</v>
      </c>
      <c r="E13" s="1507">
        <v>11691</v>
      </c>
      <c r="F13" s="1507">
        <v>313860</v>
      </c>
      <c r="G13" s="1507">
        <v>16577</v>
      </c>
      <c r="H13" s="1507">
        <v>523859</v>
      </c>
      <c r="I13" s="1783" t="s">
        <v>2223</v>
      </c>
    </row>
    <row r="14" spans="1:9" ht="25.5">
      <c r="A14" s="1781" t="s">
        <v>2619</v>
      </c>
      <c r="B14" s="627" t="s">
        <v>2516</v>
      </c>
      <c r="C14" s="1121">
        <v>2246681</v>
      </c>
      <c r="D14" s="1121">
        <v>10817757</v>
      </c>
      <c r="E14" s="1121">
        <v>3034041</v>
      </c>
      <c r="F14" s="1121">
        <v>13709540</v>
      </c>
      <c r="G14" s="1121">
        <v>3009079</v>
      </c>
      <c r="H14" s="1121">
        <v>18963241</v>
      </c>
      <c r="I14" s="1729" t="s">
        <v>2225</v>
      </c>
    </row>
    <row r="15" spans="1:9" ht="25.5">
      <c r="A15" s="1781" t="s">
        <v>2620</v>
      </c>
      <c r="B15" s="627" t="s">
        <v>2516</v>
      </c>
      <c r="C15" s="1121">
        <v>72618</v>
      </c>
      <c r="D15" s="1121">
        <v>882272</v>
      </c>
      <c r="E15" s="1121">
        <v>90933</v>
      </c>
      <c r="F15" s="1121">
        <v>1019395</v>
      </c>
      <c r="G15" s="1121">
        <v>142010</v>
      </c>
      <c r="H15" s="1121">
        <v>2131123</v>
      </c>
      <c r="I15" s="1729" t="s">
        <v>2227</v>
      </c>
    </row>
    <row r="16" spans="1:9" ht="25.5">
      <c r="A16" s="1782" t="s">
        <v>2621</v>
      </c>
      <c r="B16" s="1506" t="s">
        <v>2516</v>
      </c>
      <c r="C16" s="1507">
        <v>176421</v>
      </c>
      <c r="D16" s="1507">
        <v>5644322</v>
      </c>
      <c r="E16" s="1507">
        <v>194448</v>
      </c>
      <c r="F16" s="1507">
        <v>6337254</v>
      </c>
      <c r="G16" s="1507">
        <v>223368</v>
      </c>
      <c r="H16" s="1507">
        <v>7973967</v>
      </c>
      <c r="I16" s="1783" t="s">
        <v>2229</v>
      </c>
    </row>
    <row r="17" spans="1:9" ht="25.5">
      <c r="A17" s="1781" t="s">
        <v>2622</v>
      </c>
      <c r="B17" s="627" t="s">
        <v>2516</v>
      </c>
      <c r="C17" s="1121">
        <v>47971</v>
      </c>
      <c r="D17" s="1121">
        <v>523956</v>
      </c>
      <c r="E17" s="1121">
        <v>16327</v>
      </c>
      <c r="F17" s="1121">
        <v>360034</v>
      </c>
      <c r="G17" s="1121">
        <v>44482</v>
      </c>
      <c r="H17" s="1121">
        <v>422105</v>
      </c>
      <c r="I17" s="1729" t="s">
        <v>2566</v>
      </c>
    </row>
    <row r="18" spans="1:9" ht="25.5">
      <c r="A18" s="1781" t="s">
        <v>2623</v>
      </c>
      <c r="B18" s="627" t="s">
        <v>2516</v>
      </c>
      <c r="C18" s="1121">
        <v>63458</v>
      </c>
      <c r="D18" s="1121">
        <v>302799</v>
      </c>
      <c r="E18" s="1121">
        <v>67643</v>
      </c>
      <c r="F18" s="1121">
        <v>374975</v>
      </c>
      <c r="G18" s="1121">
        <v>41688</v>
      </c>
      <c r="H18" s="1121">
        <v>290721</v>
      </c>
      <c r="I18" s="1729" t="s">
        <v>2231</v>
      </c>
    </row>
    <row r="19" spans="1:9" ht="25.5">
      <c r="A19" s="1782" t="s">
        <v>2624</v>
      </c>
      <c r="B19" s="1506" t="s">
        <v>2516</v>
      </c>
      <c r="C19" s="1507">
        <v>105</v>
      </c>
      <c r="D19" s="1507">
        <v>4131</v>
      </c>
      <c r="E19" s="1507">
        <v>66</v>
      </c>
      <c r="F19" s="1507">
        <v>2661</v>
      </c>
      <c r="G19" s="1507">
        <v>64</v>
      </c>
      <c r="H19" s="1507">
        <v>2197</v>
      </c>
      <c r="I19" s="1783" t="s">
        <v>2233</v>
      </c>
    </row>
    <row r="20" spans="1:9" ht="25.5">
      <c r="A20" s="1781" t="s">
        <v>2625</v>
      </c>
      <c r="B20" s="627" t="s">
        <v>2516</v>
      </c>
      <c r="C20" s="1121">
        <v>124693</v>
      </c>
      <c r="D20" s="1121">
        <v>2065047</v>
      </c>
      <c r="E20" s="1121">
        <v>156211</v>
      </c>
      <c r="F20" s="1121">
        <v>2257733</v>
      </c>
      <c r="G20" s="1121">
        <v>245710</v>
      </c>
      <c r="H20" s="1121">
        <v>4232459</v>
      </c>
      <c r="I20" s="1729" t="s">
        <v>2237</v>
      </c>
    </row>
    <row r="21" spans="1:9" ht="25.5">
      <c r="A21" s="1781" t="s">
        <v>2626</v>
      </c>
      <c r="B21" s="627" t="s">
        <v>2516</v>
      </c>
      <c r="C21" s="1121">
        <v>20961</v>
      </c>
      <c r="D21" s="1121">
        <v>317309</v>
      </c>
      <c r="E21" s="1121">
        <v>12562</v>
      </c>
      <c r="F21" s="1121">
        <v>241521</v>
      </c>
      <c r="G21" s="1121">
        <v>14245</v>
      </c>
      <c r="H21" s="1121">
        <v>279441</v>
      </c>
      <c r="I21" s="1729" t="s">
        <v>2565</v>
      </c>
    </row>
    <row r="22" spans="1:9" ht="25.5">
      <c r="A22" s="1782" t="s">
        <v>2627</v>
      </c>
      <c r="B22" s="1506" t="s">
        <v>2536</v>
      </c>
      <c r="C22" s="1507">
        <v>248545</v>
      </c>
      <c r="D22" s="1507">
        <v>1527478152</v>
      </c>
      <c r="E22" s="1507">
        <v>215260</v>
      </c>
      <c r="F22" s="1507">
        <v>1160506410</v>
      </c>
      <c r="G22" s="1507">
        <v>208636</v>
      </c>
      <c r="H22" s="1507">
        <v>2288189160</v>
      </c>
      <c r="I22" s="1783" t="s">
        <v>2564</v>
      </c>
    </row>
    <row r="23" spans="1:9" ht="25.5">
      <c r="A23" s="1781" t="s">
        <v>2628</v>
      </c>
      <c r="B23" s="627" t="s">
        <v>2516</v>
      </c>
      <c r="C23" s="1121" t="s">
        <v>110</v>
      </c>
      <c r="D23" s="1121" t="s">
        <v>110</v>
      </c>
      <c r="E23" s="1121" t="s">
        <v>110</v>
      </c>
      <c r="F23" s="1121" t="s">
        <v>110</v>
      </c>
      <c r="G23" s="1121" t="s">
        <v>110</v>
      </c>
      <c r="H23" s="1121" t="s">
        <v>110</v>
      </c>
      <c r="I23" s="1729" t="s">
        <v>2563</v>
      </c>
    </row>
    <row r="24" spans="1:9" ht="25.5">
      <c r="A24" s="1781" t="s">
        <v>2629</v>
      </c>
      <c r="B24" s="627" t="s">
        <v>2536</v>
      </c>
      <c r="C24" s="1121">
        <v>1</v>
      </c>
      <c r="D24" s="1121">
        <v>5170</v>
      </c>
      <c r="E24" s="1121">
        <v>1</v>
      </c>
      <c r="F24" s="1121">
        <v>5746</v>
      </c>
      <c r="G24" s="1121">
        <v>1</v>
      </c>
      <c r="H24" s="1121">
        <v>9495</v>
      </c>
      <c r="I24" s="1729" t="s">
        <v>2562</v>
      </c>
    </row>
    <row r="25" spans="1:9" ht="25.5">
      <c r="A25" s="1782" t="s">
        <v>2630</v>
      </c>
      <c r="B25" s="1506" t="s">
        <v>2516</v>
      </c>
      <c r="C25" s="1507">
        <v>2</v>
      </c>
      <c r="D25" s="1507">
        <v>9253</v>
      </c>
      <c r="E25" s="1507" t="s">
        <v>2519</v>
      </c>
      <c r="F25" s="1507">
        <v>325</v>
      </c>
      <c r="G25" s="1507">
        <v>1</v>
      </c>
      <c r="H25" s="1507">
        <v>6917</v>
      </c>
      <c r="I25" s="1783" t="s">
        <v>2561</v>
      </c>
    </row>
    <row r="26" spans="1:9" ht="25.5">
      <c r="A26" s="1781" t="s">
        <v>2631</v>
      </c>
      <c r="B26" s="627" t="s">
        <v>2516</v>
      </c>
      <c r="C26" s="1121">
        <v>2912775</v>
      </c>
      <c r="D26" s="1121">
        <v>61067396</v>
      </c>
      <c r="E26" s="1121">
        <v>2463036</v>
      </c>
      <c r="F26" s="1121">
        <v>44821773</v>
      </c>
      <c r="G26" s="1121">
        <v>2501153</v>
      </c>
      <c r="H26" s="1121">
        <v>81047701</v>
      </c>
      <c r="I26" s="1729" t="s">
        <v>2560</v>
      </c>
    </row>
    <row r="27" spans="1:9" ht="25.5">
      <c r="A27" s="1781" t="s">
        <v>2632</v>
      </c>
      <c r="B27" s="627" t="s">
        <v>2516</v>
      </c>
      <c r="C27" s="1121">
        <v>821555</v>
      </c>
      <c r="D27" s="1121">
        <v>86675247</v>
      </c>
      <c r="E27" s="1121">
        <v>415136</v>
      </c>
      <c r="F27" s="1121">
        <v>59071579</v>
      </c>
      <c r="G27" s="1121">
        <v>1018934</v>
      </c>
      <c r="H27" s="1121">
        <v>223814328</v>
      </c>
      <c r="I27" s="1729" t="s">
        <v>2559</v>
      </c>
    </row>
    <row r="28" spans="1:9" ht="25.5">
      <c r="A28" s="1782" t="s">
        <v>2633</v>
      </c>
      <c r="B28" s="1506" t="s">
        <v>2516</v>
      </c>
      <c r="C28" s="1507" t="s">
        <v>110</v>
      </c>
      <c r="D28" s="1507" t="s">
        <v>110</v>
      </c>
      <c r="E28" s="1507">
        <v>1</v>
      </c>
      <c r="F28" s="1507">
        <v>79</v>
      </c>
      <c r="G28" s="1507" t="s">
        <v>2519</v>
      </c>
      <c r="H28" s="1507">
        <v>10</v>
      </c>
      <c r="I28" s="1783" t="s">
        <v>2558</v>
      </c>
    </row>
    <row r="29" spans="1:9" ht="25.5">
      <c r="A29" s="1781" t="s">
        <v>2634</v>
      </c>
      <c r="B29" s="627"/>
      <c r="C29" s="1121" t="s">
        <v>2515</v>
      </c>
      <c r="D29" s="1121">
        <v>1487354319</v>
      </c>
      <c r="E29" s="1121" t="s">
        <v>2515</v>
      </c>
      <c r="F29" s="1121">
        <v>1283511854</v>
      </c>
      <c r="G29" s="1121" t="s">
        <v>2515</v>
      </c>
      <c r="H29" s="1121">
        <v>2056382187</v>
      </c>
      <c r="I29" s="1729" t="s">
        <v>2249</v>
      </c>
    </row>
    <row r="30" spans="1:9" ht="26.25" thickBot="1">
      <c r="A30" s="1787" t="s">
        <v>2635</v>
      </c>
      <c r="B30" s="1614" t="s">
        <v>2516</v>
      </c>
      <c r="C30" s="1615">
        <v>4950</v>
      </c>
      <c r="D30" s="1615">
        <v>152229</v>
      </c>
      <c r="E30" s="1615">
        <v>7099</v>
      </c>
      <c r="F30" s="1615">
        <v>212766</v>
      </c>
      <c r="G30" s="1615">
        <v>1787</v>
      </c>
      <c r="H30" s="1615">
        <v>94373</v>
      </c>
      <c r="I30" s="1788" t="s">
        <v>2253</v>
      </c>
    </row>
    <row r="31" spans="1:9" ht="26.25" thickTop="1">
      <c r="A31" s="1785" t="s">
        <v>2636</v>
      </c>
      <c r="B31" s="1612" t="s">
        <v>2516</v>
      </c>
      <c r="C31" s="1613">
        <v>5539814</v>
      </c>
      <c r="D31" s="1613">
        <v>6555288</v>
      </c>
      <c r="E31" s="1613">
        <v>3505151</v>
      </c>
      <c r="F31" s="1613">
        <v>5075300</v>
      </c>
      <c r="G31" s="1613">
        <v>5510404</v>
      </c>
      <c r="H31" s="1613">
        <v>9682992</v>
      </c>
      <c r="I31" s="1786" t="s">
        <v>2255</v>
      </c>
    </row>
    <row r="32" spans="1:9" ht="25.5">
      <c r="A32" s="1781" t="s">
        <v>2637</v>
      </c>
      <c r="B32" s="627" t="s">
        <v>2516</v>
      </c>
      <c r="C32" s="1121">
        <v>2</v>
      </c>
      <c r="D32" s="1121">
        <v>343</v>
      </c>
      <c r="E32" s="1121">
        <v>3</v>
      </c>
      <c r="F32" s="1121">
        <v>450</v>
      </c>
      <c r="G32" s="1121">
        <v>2</v>
      </c>
      <c r="H32" s="1121">
        <v>247</v>
      </c>
      <c r="I32" s="1729" t="s">
        <v>2557</v>
      </c>
    </row>
    <row r="33" spans="1:9" ht="25.5">
      <c r="A33" s="1781" t="s">
        <v>2638</v>
      </c>
      <c r="B33" s="627"/>
      <c r="C33" s="1121" t="s">
        <v>2515</v>
      </c>
      <c r="D33" s="1121">
        <v>24403510</v>
      </c>
      <c r="E33" s="1121" t="s">
        <v>2515</v>
      </c>
      <c r="F33" s="1121">
        <v>7997796</v>
      </c>
      <c r="G33" s="1121" t="s">
        <v>2515</v>
      </c>
      <c r="H33" s="1121">
        <v>16560915</v>
      </c>
      <c r="I33" s="1729" t="s">
        <v>2556</v>
      </c>
    </row>
    <row r="34" spans="1:9" ht="25.5">
      <c r="A34" s="1782" t="s">
        <v>2639</v>
      </c>
      <c r="B34" s="1506"/>
      <c r="C34" s="1507" t="s">
        <v>2515</v>
      </c>
      <c r="D34" s="1507">
        <v>83631</v>
      </c>
      <c r="E34" s="1507" t="s">
        <v>2515</v>
      </c>
      <c r="F34" s="1507">
        <v>8094</v>
      </c>
      <c r="G34" s="1507" t="s">
        <v>2515</v>
      </c>
      <c r="H34" s="1507">
        <v>22005</v>
      </c>
      <c r="I34" s="1783" t="s">
        <v>2555</v>
      </c>
    </row>
    <row r="35" spans="1:9" ht="25.5">
      <c r="A35" s="1781" t="s">
        <v>2640</v>
      </c>
      <c r="B35" s="627" t="s">
        <v>2516</v>
      </c>
      <c r="C35" s="1121">
        <v>8198</v>
      </c>
      <c r="D35" s="1121">
        <v>101216</v>
      </c>
      <c r="E35" s="1121">
        <v>13187</v>
      </c>
      <c r="F35" s="1121">
        <v>78978</v>
      </c>
      <c r="G35" s="1121">
        <v>2795</v>
      </c>
      <c r="H35" s="1121">
        <v>54485</v>
      </c>
      <c r="I35" s="1729" t="s">
        <v>2554</v>
      </c>
    </row>
    <row r="36" spans="1:9" ht="25.5">
      <c r="A36" s="1781" t="s">
        <v>2641</v>
      </c>
      <c r="B36" s="627" t="s">
        <v>2516</v>
      </c>
      <c r="C36" s="1121">
        <v>1896</v>
      </c>
      <c r="D36" s="1121">
        <v>100241</v>
      </c>
      <c r="E36" s="1121">
        <v>2326</v>
      </c>
      <c r="F36" s="1121">
        <v>100595</v>
      </c>
      <c r="G36" s="1121">
        <v>898</v>
      </c>
      <c r="H36" s="1121">
        <v>58418</v>
      </c>
      <c r="I36" s="1729" t="s">
        <v>2553</v>
      </c>
    </row>
    <row r="37" spans="1:9" ht="25.5">
      <c r="A37" s="1782" t="s">
        <v>2642</v>
      </c>
      <c r="B37" s="1506" t="s">
        <v>2516</v>
      </c>
      <c r="C37" s="1507">
        <v>6279</v>
      </c>
      <c r="D37" s="1507">
        <v>62362</v>
      </c>
      <c r="E37" s="1507">
        <v>9209</v>
      </c>
      <c r="F37" s="1507">
        <v>85170</v>
      </c>
      <c r="G37" s="1507">
        <v>8611</v>
      </c>
      <c r="H37" s="1507">
        <v>83205</v>
      </c>
      <c r="I37" s="1783" t="s">
        <v>2552</v>
      </c>
    </row>
    <row r="38" spans="1:9" ht="25.5">
      <c r="A38" s="1781" t="s">
        <v>2551</v>
      </c>
      <c r="B38" s="627" t="s">
        <v>2516</v>
      </c>
      <c r="C38" s="1121">
        <v>239589</v>
      </c>
      <c r="D38" s="1121">
        <v>7225937</v>
      </c>
      <c r="E38" s="1121">
        <v>220573</v>
      </c>
      <c r="F38" s="1121">
        <v>6090596</v>
      </c>
      <c r="G38" s="1121">
        <v>286224</v>
      </c>
      <c r="H38" s="1121">
        <v>7792038</v>
      </c>
      <c r="I38" s="1729" t="s">
        <v>2551</v>
      </c>
    </row>
    <row r="39" spans="1:9" ht="25.5">
      <c r="A39" s="1781" t="s">
        <v>2643</v>
      </c>
      <c r="B39" s="627"/>
      <c r="C39" s="1121" t="s">
        <v>2515</v>
      </c>
      <c r="D39" s="1121">
        <v>184466</v>
      </c>
      <c r="E39" s="1121" t="s">
        <v>2515</v>
      </c>
      <c r="F39" s="1121">
        <v>97335</v>
      </c>
      <c r="G39" s="1121" t="s">
        <v>2515</v>
      </c>
      <c r="H39" s="1121">
        <v>183591</v>
      </c>
      <c r="I39" s="1729" t="s">
        <v>2550</v>
      </c>
    </row>
    <row r="40" spans="1:9" ht="25.5">
      <c r="A40" s="1782" t="s">
        <v>2644</v>
      </c>
      <c r="B40" s="1506" t="s">
        <v>2516</v>
      </c>
      <c r="C40" s="1507">
        <v>391</v>
      </c>
      <c r="D40" s="1507">
        <v>6189</v>
      </c>
      <c r="E40" s="1507">
        <v>345</v>
      </c>
      <c r="F40" s="1507">
        <v>14712</v>
      </c>
      <c r="G40" s="1507">
        <v>140</v>
      </c>
      <c r="H40" s="1507">
        <v>1789</v>
      </c>
      <c r="I40" s="1783" t="s">
        <v>2549</v>
      </c>
    </row>
    <row r="41" spans="1:9" ht="25.5">
      <c r="A41" s="1781" t="s">
        <v>2645</v>
      </c>
      <c r="B41" s="627" t="s">
        <v>2516</v>
      </c>
      <c r="C41" s="1121">
        <v>56169</v>
      </c>
      <c r="D41" s="1121">
        <v>1846960</v>
      </c>
      <c r="E41" s="1121">
        <v>37304</v>
      </c>
      <c r="F41" s="1121">
        <v>1320021</v>
      </c>
      <c r="G41" s="1121">
        <v>35032</v>
      </c>
      <c r="H41" s="1121">
        <v>1279464</v>
      </c>
      <c r="I41" s="1729" t="s">
        <v>2548</v>
      </c>
    </row>
    <row r="42" spans="1:9" ht="25.5">
      <c r="A42" s="1781" t="s">
        <v>2646</v>
      </c>
      <c r="B42" s="627" t="s">
        <v>2516</v>
      </c>
      <c r="C42" s="1121">
        <v>41405</v>
      </c>
      <c r="D42" s="1121">
        <v>1863220</v>
      </c>
      <c r="E42" s="1121">
        <v>40153</v>
      </c>
      <c r="F42" s="1121">
        <v>1808218</v>
      </c>
      <c r="G42" s="1121">
        <v>54047</v>
      </c>
      <c r="H42" s="1121">
        <v>2651642</v>
      </c>
      <c r="I42" s="1729" t="s">
        <v>2547</v>
      </c>
    </row>
    <row r="43" spans="1:9" ht="25.5">
      <c r="A43" s="1782" t="s">
        <v>2647</v>
      </c>
      <c r="B43" s="1506" t="s">
        <v>2516</v>
      </c>
      <c r="C43" s="1507">
        <v>5460746</v>
      </c>
      <c r="D43" s="1507">
        <v>8415195</v>
      </c>
      <c r="E43" s="1507">
        <v>4762012</v>
      </c>
      <c r="F43" s="1507">
        <v>7372934</v>
      </c>
      <c r="G43" s="1507">
        <v>5632758</v>
      </c>
      <c r="H43" s="1507">
        <v>11823817</v>
      </c>
      <c r="I43" s="1783" t="s">
        <v>2289</v>
      </c>
    </row>
    <row r="44" spans="1:9" ht="25.5">
      <c r="A44" s="1781" t="s">
        <v>2648</v>
      </c>
      <c r="B44" s="627" t="s">
        <v>2536</v>
      </c>
      <c r="C44" s="1121">
        <v>1245</v>
      </c>
      <c r="D44" s="1121">
        <v>9409772</v>
      </c>
      <c r="E44" s="1121">
        <v>766</v>
      </c>
      <c r="F44" s="1121">
        <v>8445221</v>
      </c>
      <c r="G44" s="1121">
        <v>6683</v>
      </c>
      <c r="H44" s="1121">
        <v>35389345</v>
      </c>
      <c r="I44" s="1729" t="s">
        <v>2546</v>
      </c>
    </row>
    <row r="45" spans="1:9" ht="25.5">
      <c r="A45" s="1781" t="s">
        <v>2545</v>
      </c>
      <c r="B45" s="627" t="s">
        <v>2516</v>
      </c>
      <c r="C45" s="1121">
        <v>231662</v>
      </c>
      <c r="D45" s="1121">
        <v>3933899</v>
      </c>
      <c r="E45" s="1121">
        <v>237144</v>
      </c>
      <c r="F45" s="1121">
        <v>4431804</v>
      </c>
      <c r="G45" s="1121">
        <v>223127</v>
      </c>
      <c r="H45" s="1121">
        <v>5048415</v>
      </c>
      <c r="I45" s="1729" t="s">
        <v>2545</v>
      </c>
    </row>
    <row r="46" spans="1:9" ht="25.5">
      <c r="A46" s="1782" t="s">
        <v>2544</v>
      </c>
      <c r="B46" s="1506" t="s">
        <v>2516</v>
      </c>
      <c r="C46" s="1507">
        <v>66</v>
      </c>
      <c r="D46" s="1507">
        <v>9247</v>
      </c>
      <c r="E46" s="1507">
        <v>10</v>
      </c>
      <c r="F46" s="1507">
        <v>1543</v>
      </c>
      <c r="G46" s="1507" t="s">
        <v>2519</v>
      </c>
      <c r="H46" s="1507">
        <v>64</v>
      </c>
      <c r="I46" s="1783" t="s">
        <v>2544</v>
      </c>
    </row>
    <row r="47" spans="1:9" ht="25.5">
      <c r="A47" s="1781" t="s">
        <v>2649</v>
      </c>
      <c r="B47" s="627" t="s">
        <v>2516</v>
      </c>
      <c r="C47" s="1121">
        <v>1112</v>
      </c>
      <c r="D47" s="1121">
        <v>33476</v>
      </c>
      <c r="E47" s="1121">
        <v>1238</v>
      </c>
      <c r="F47" s="1121">
        <v>42080</v>
      </c>
      <c r="G47" s="1121">
        <v>1668</v>
      </c>
      <c r="H47" s="1121">
        <v>53418</v>
      </c>
      <c r="I47" s="1729" t="s">
        <v>2295</v>
      </c>
    </row>
    <row r="48" spans="1:9" ht="25.5">
      <c r="A48" s="1781" t="s">
        <v>2650</v>
      </c>
      <c r="B48" s="627" t="s">
        <v>2516</v>
      </c>
      <c r="C48" s="1121">
        <v>3283</v>
      </c>
      <c r="D48" s="1121">
        <v>166725</v>
      </c>
      <c r="E48" s="1121">
        <v>5473</v>
      </c>
      <c r="F48" s="1121">
        <v>325104</v>
      </c>
      <c r="G48" s="1121">
        <v>5325</v>
      </c>
      <c r="H48" s="1121">
        <v>255224</v>
      </c>
      <c r="I48" s="1729" t="s">
        <v>2543</v>
      </c>
    </row>
    <row r="49" spans="1:9" ht="25.5">
      <c r="A49" s="1782" t="s">
        <v>2651</v>
      </c>
      <c r="B49" s="1506" t="s">
        <v>2516</v>
      </c>
      <c r="C49" s="1507">
        <v>25639508</v>
      </c>
      <c r="D49" s="1507">
        <v>37429909</v>
      </c>
      <c r="E49" s="1507">
        <v>22797801</v>
      </c>
      <c r="F49" s="1507">
        <v>32911759</v>
      </c>
      <c r="G49" s="1507">
        <v>27582767</v>
      </c>
      <c r="H49" s="1507">
        <v>49014650</v>
      </c>
      <c r="I49" s="1783" t="s">
        <v>2307</v>
      </c>
    </row>
    <row r="50" spans="1:9" ht="25.5">
      <c r="A50" s="1781" t="s">
        <v>2652</v>
      </c>
      <c r="B50" s="627" t="s">
        <v>2516</v>
      </c>
      <c r="C50" s="1121">
        <v>365053</v>
      </c>
      <c r="D50" s="1121">
        <v>9468163</v>
      </c>
      <c r="E50" s="1121">
        <v>364577</v>
      </c>
      <c r="F50" s="1121">
        <v>7657838</v>
      </c>
      <c r="G50" s="1121">
        <v>510898</v>
      </c>
      <c r="H50" s="1121">
        <v>13106490</v>
      </c>
      <c r="I50" s="1729" t="s">
        <v>2309</v>
      </c>
    </row>
    <row r="51" spans="1:9" ht="25.5">
      <c r="A51" s="1781" t="s">
        <v>2653</v>
      </c>
      <c r="B51" s="627" t="s">
        <v>2516</v>
      </c>
      <c r="C51" s="1121">
        <v>4316572</v>
      </c>
      <c r="D51" s="1121">
        <v>41282100</v>
      </c>
      <c r="E51" s="1121">
        <v>4058590</v>
      </c>
      <c r="F51" s="1121">
        <v>55242138</v>
      </c>
      <c r="G51" s="1121">
        <v>6500149</v>
      </c>
      <c r="H51" s="1121">
        <v>96424799</v>
      </c>
      <c r="I51" s="1729" t="s">
        <v>2311</v>
      </c>
    </row>
    <row r="52" spans="1:9" ht="25.5">
      <c r="A52" s="1782" t="s">
        <v>2654</v>
      </c>
      <c r="B52" s="1506" t="s">
        <v>2516</v>
      </c>
      <c r="C52" s="1507">
        <v>951361</v>
      </c>
      <c r="D52" s="1507">
        <v>17923694</v>
      </c>
      <c r="E52" s="1507">
        <v>645253</v>
      </c>
      <c r="F52" s="1507">
        <v>12032307</v>
      </c>
      <c r="G52" s="1507">
        <v>1073654</v>
      </c>
      <c r="H52" s="1507">
        <v>21110673</v>
      </c>
      <c r="I52" s="1783" t="s">
        <v>2313</v>
      </c>
    </row>
    <row r="53" spans="1:9" ht="25.5">
      <c r="A53" s="1781" t="s">
        <v>2655</v>
      </c>
      <c r="B53" s="627" t="s">
        <v>2516</v>
      </c>
      <c r="C53" s="1121">
        <v>3645</v>
      </c>
      <c r="D53" s="1121">
        <v>1280925</v>
      </c>
      <c r="E53" s="1121">
        <v>2987</v>
      </c>
      <c r="F53" s="1121">
        <v>1252020</v>
      </c>
      <c r="G53" s="1121">
        <v>3338</v>
      </c>
      <c r="H53" s="1121">
        <v>1319896</v>
      </c>
      <c r="I53" s="1729" t="s">
        <v>2317</v>
      </c>
    </row>
    <row r="54" spans="1:9" ht="26.25" thickBot="1">
      <c r="A54" s="1787" t="s">
        <v>2656</v>
      </c>
      <c r="B54" s="1614" t="s">
        <v>2516</v>
      </c>
      <c r="C54" s="1615">
        <v>7901</v>
      </c>
      <c r="D54" s="1615">
        <v>9809780</v>
      </c>
      <c r="E54" s="1615">
        <v>9177</v>
      </c>
      <c r="F54" s="1615">
        <v>8848441</v>
      </c>
      <c r="G54" s="1615">
        <v>9114</v>
      </c>
      <c r="H54" s="1615">
        <v>15470962</v>
      </c>
      <c r="I54" s="1788" t="s">
        <v>2542</v>
      </c>
    </row>
    <row r="55" spans="1:9" ht="26.25" thickTop="1">
      <c r="A55" s="1785" t="s">
        <v>2657</v>
      </c>
      <c r="B55" s="1612" t="s">
        <v>2516</v>
      </c>
      <c r="C55" s="1613">
        <v>24416607</v>
      </c>
      <c r="D55" s="1613">
        <v>684667281</v>
      </c>
      <c r="E55" s="1613">
        <v>25054872</v>
      </c>
      <c r="F55" s="1613">
        <v>583289424</v>
      </c>
      <c r="G55" s="1613">
        <v>23417029</v>
      </c>
      <c r="H55" s="1613">
        <v>1005206968</v>
      </c>
      <c r="I55" s="1786" t="s">
        <v>2541</v>
      </c>
    </row>
    <row r="56" spans="1:9" ht="25.5">
      <c r="A56" s="1781" t="s">
        <v>2658</v>
      </c>
      <c r="B56" s="627" t="s">
        <v>2516</v>
      </c>
      <c r="C56" s="1121" t="s">
        <v>2519</v>
      </c>
      <c r="D56" s="1121">
        <v>204</v>
      </c>
      <c r="E56" s="1121">
        <v>37</v>
      </c>
      <c r="F56" s="1121">
        <v>6404</v>
      </c>
      <c r="G56" s="1121">
        <v>106</v>
      </c>
      <c r="H56" s="1121">
        <v>16165</v>
      </c>
      <c r="I56" s="1729" t="s">
        <v>2540</v>
      </c>
    </row>
    <row r="57" spans="1:9" ht="25.5">
      <c r="A57" s="1781" t="s">
        <v>2659</v>
      </c>
      <c r="B57" s="627" t="s">
        <v>2516</v>
      </c>
      <c r="C57" s="1121">
        <v>16</v>
      </c>
      <c r="D57" s="1121">
        <v>21764</v>
      </c>
      <c r="E57" s="1121">
        <v>2</v>
      </c>
      <c r="F57" s="1121">
        <v>489</v>
      </c>
      <c r="G57" s="1121">
        <v>2</v>
      </c>
      <c r="H57" s="1121">
        <v>488</v>
      </c>
      <c r="I57" s="1729" t="s">
        <v>2539</v>
      </c>
    </row>
    <row r="58" spans="1:9" ht="25.5">
      <c r="A58" s="1782" t="s">
        <v>2660</v>
      </c>
      <c r="B58" s="1506" t="s">
        <v>2516</v>
      </c>
      <c r="C58" s="1507">
        <v>188</v>
      </c>
      <c r="D58" s="1507">
        <v>35754</v>
      </c>
      <c r="E58" s="1507">
        <v>391</v>
      </c>
      <c r="F58" s="1507">
        <v>82224</v>
      </c>
      <c r="G58" s="1507">
        <v>648</v>
      </c>
      <c r="H58" s="1507">
        <v>149495</v>
      </c>
      <c r="I58" s="1783" t="s">
        <v>2325</v>
      </c>
    </row>
    <row r="59" spans="1:9" ht="25.5">
      <c r="A59" s="1781" t="s">
        <v>2661</v>
      </c>
      <c r="B59" s="627" t="s">
        <v>2516</v>
      </c>
      <c r="C59" s="1121">
        <v>641544</v>
      </c>
      <c r="D59" s="1121">
        <v>2995670</v>
      </c>
      <c r="E59" s="1121">
        <v>544580</v>
      </c>
      <c r="F59" s="1121">
        <v>2325905</v>
      </c>
      <c r="G59" s="1121">
        <v>678649</v>
      </c>
      <c r="H59" s="1121">
        <v>4316773</v>
      </c>
      <c r="I59" s="1729" t="s">
        <v>2538</v>
      </c>
    </row>
    <row r="60" spans="1:9" ht="25.5">
      <c r="A60" s="1781" t="s">
        <v>2662</v>
      </c>
      <c r="B60" s="627" t="s">
        <v>2536</v>
      </c>
      <c r="C60" s="1121">
        <v>220869</v>
      </c>
      <c r="D60" s="1121">
        <v>7281122511</v>
      </c>
      <c r="E60" s="1121">
        <v>188182</v>
      </c>
      <c r="F60" s="1121">
        <v>4396561618</v>
      </c>
      <c r="G60" s="1121">
        <v>220034</v>
      </c>
      <c r="H60" s="1121">
        <v>9139168005</v>
      </c>
      <c r="I60" s="1729" t="s">
        <v>2537</v>
      </c>
    </row>
    <row r="61" spans="1:9" ht="25.5">
      <c r="A61" s="1782" t="s">
        <v>2663</v>
      </c>
      <c r="B61" s="1506"/>
      <c r="C61" s="1507" t="s">
        <v>2515</v>
      </c>
      <c r="D61" s="1507">
        <v>41191154</v>
      </c>
      <c r="E61" s="1507" t="s">
        <v>2515</v>
      </c>
      <c r="F61" s="1507">
        <v>47935435</v>
      </c>
      <c r="G61" s="1507" t="s">
        <v>2515</v>
      </c>
      <c r="H61" s="1507">
        <v>128825205</v>
      </c>
      <c r="I61" s="1783" t="s">
        <v>2535</v>
      </c>
    </row>
    <row r="62" spans="1:9" ht="25.5">
      <c r="A62" s="1781" t="s">
        <v>2664</v>
      </c>
      <c r="B62" s="627" t="s">
        <v>2533</v>
      </c>
      <c r="C62" s="1121">
        <v>273</v>
      </c>
      <c r="D62" s="1121">
        <v>736</v>
      </c>
      <c r="E62" s="1121">
        <v>10743</v>
      </c>
      <c r="F62" s="1121">
        <v>48509</v>
      </c>
      <c r="G62" s="1121">
        <v>799178</v>
      </c>
      <c r="H62" s="1121">
        <v>2376644</v>
      </c>
      <c r="I62" s="1729" t="s">
        <v>2534</v>
      </c>
    </row>
    <row r="63" spans="1:9" ht="25.5">
      <c r="A63" s="1781" t="s">
        <v>2665</v>
      </c>
      <c r="B63" s="627" t="s">
        <v>2516</v>
      </c>
      <c r="C63" s="1121">
        <v>1155</v>
      </c>
      <c r="D63" s="1121">
        <v>40682</v>
      </c>
      <c r="E63" s="1121">
        <v>1098</v>
      </c>
      <c r="F63" s="1121">
        <v>50333</v>
      </c>
      <c r="G63" s="1121">
        <v>7792</v>
      </c>
      <c r="H63" s="1121">
        <v>211384</v>
      </c>
      <c r="I63" s="1729" t="s">
        <v>2532</v>
      </c>
    </row>
    <row r="64" spans="1:9" ht="25.5">
      <c r="A64" s="1782" t="s">
        <v>2666</v>
      </c>
      <c r="B64" s="1506" t="s">
        <v>2516</v>
      </c>
      <c r="C64" s="1507">
        <v>7654867</v>
      </c>
      <c r="D64" s="1507">
        <v>54205952</v>
      </c>
      <c r="E64" s="1507">
        <v>7781423</v>
      </c>
      <c r="F64" s="1507">
        <v>53709109</v>
      </c>
      <c r="G64" s="1507">
        <v>9659818</v>
      </c>
      <c r="H64" s="1507">
        <v>104667349</v>
      </c>
      <c r="I64" s="1783" t="s">
        <v>2344</v>
      </c>
    </row>
    <row r="65" spans="1:9" ht="25.5">
      <c r="A65" s="1781" t="s">
        <v>2667</v>
      </c>
      <c r="B65" s="627" t="s">
        <v>2516</v>
      </c>
      <c r="C65" s="1121">
        <v>65263</v>
      </c>
      <c r="D65" s="1121">
        <v>466170</v>
      </c>
      <c r="E65" s="1121">
        <v>98042</v>
      </c>
      <c r="F65" s="1121">
        <v>645494</v>
      </c>
      <c r="G65" s="1121">
        <v>69549</v>
      </c>
      <c r="H65" s="1121">
        <v>512396</v>
      </c>
      <c r="I65" s="1729" t="s">
        <v>2531</v>
      </c>
    </row>
    <row r="66" spans="1:9" ht="25.5">
      <c r="A66" s="1781" t="s">
        <v>2668</v>
      </c>
      <c r="B66" s="627" t="s">
        <v>2516</v>
      </c>
      <c r="C66" s="1121">
        <v>198862</v>
      </c>
      <c r="D66" s="1121">
        <v>502131</v>
      </c>
      <c r="E66" s="1121">
        <v>57812</v>
      </c>
      <c r="F66" s="1121">
        <v>400291</v>
      </c>
      <c r="G66" s="1121">
        <v>5121</v>
      </c>
      <c r="H66" s="1121">
        <v>348319</v>
      </c>
      <c r="I66" s="1729" t="s">
        <v>2530</v>
      </c>
    </row>
    <row r="67" spans="1:9" ht="25.5">
      <c r="A67" s="1782" t="s">
        <v>2669</v>
      </c>
      <c r="B67" s="1506" t="s">
        <v>2516</v>
      </c>
      <c r="C67" s="1507">
        <v>28</v>
      </c>
      <c r="D67" s="1507">
        <v>693</v>
      </c>
      <c r="E67" s="1507">
        <v>16</v>
      </c>
      <c r="F67" s="1507">
        <v>480</v>
      </c>
      <c r="G67" s="1507">
        <v>130</v>
      </c>
      <c r="H67" s="1507">
        <v>2691</v>
      </c>
      <c r="I67" s="1783" t="s">
        <v>2529</v>
      </c>
    </row>
    <row r="68" spans="1:9" ht="25.5">
      <c r="A68" s="1781" t="s">
        <v>2670</v>
      </c>
      <c r="B68" s="627" t="s">
        <v>2516</v>
      </c>
      <c r="C68" s="1121">
        <v>21392</v>
      </c>
      <c r="D68" s="1121">
        <v>218841</v>
      </c>
      <c r="E68" s="1121">
        <v>21356</v>
      </c>
      <c r="F68" s="1121">
        <v>238740</v>
      </c>
      <c r="G68" s="1121">
        <v>57095</v>
      </c>
      <c r="H68" s="1121">
        <v>527973</v>
      </c>
      <c r="I68" s="1729" t="s">
        <v>2528</v>
      </c>
    </row>
    <row r="69" spans="1:9" ht="25.5">
      <c r="A69" s="1781" t="s">
        <v>2671</v>
      </c>
      <c r="B69" s="627" t="s">
        <v>2516</v>
      </c>
      <c r="C69" s="1121">
        <v>609</v>
      </c>
      <c r="D69" s="1121">
        <v>10781</v>
      </c>
      <c r="E69" s="1121">
        <v>606</v>
      </c>
      <c r="F69" s="1121">
        <v>11571</v>
      </c>
      <c r="G69" s="1121">
        <v>801</v>
      </c>
      <c r="H69" s="1121">
        <v>13972</v>
      </c>
      <c r="I69" s="1729" t="s">
        <v>2354</v>
      </c>
    </row>
    <row r="70" spans="1:9" ht="25.5">
      <c r="A70" s="1782" t="s">
        <v>2672</v>
      </c>
      <c r="B70" s="1506" t="s">
        <v>2516</v>
      </c>
      <c r="C70" s="1507">
        <v>111</v>
      </c>
      <c r="D70" s="1507">
        <v>3818</v>
      </c>
      <c r="E70" s="1507">
        <v>49</v>
      </c>
      <c r="F70" s="1507">
        <v>3784</v>
      </c>
      <c r="G70" s="1507">
        <v>109</v>
      </c>
      <c r="H70" s="1507">
        <v>5741</v>
      </c>
      <c r="I70" s="1783" t="s">
        <v>2358</v>
      </c>
    </row>
    <row r="71" spans="1:9" ht="25.5">
      <c r="A71" s="1781" t="s">
        <v>2612</v>
      </c>
      <c r="B71" s="627" t="s">
        <v>2516</v>
      </c>
      <c r="C71" s="1121">
        <v>5809</v>
      </c>
      <c r="D71" s="1121">
        <v>325939</v>
      </c>
      <c r="E71" s="1121">
        <v>5332</v>
      </c>
      <c r="F71" s="1121">
        <v>344649</v>
      </c>
      <c r="G71" s="1121">
        <v>9978</v>
      </c>
      <c r="H71" s="1121">
        <v>407255</v>
      </c>
      <c r="I71" s="1729" t="s">
        <v>2527</v>
      </c>
    </row>
    <row r="72" spans="1:9" ht="25.5">
      <c r="A72" s="1781" t="s">
        <v>2673</v>
      </c>
      <c r="B72" s="627" t="s">
        <v>2516</v>
      </c>
      <c r="C72" s="1121">
        <v>1235102</v>
      </c>
      <c r="D72" s="1121">
        <v>8239656</v>
      </c>
      <c r="E72" s="1121">
        <v>1463291</v>
      </c>
      <c r="F72" s="1121">
        <v>10948268</v>
      </c>
      <c r="G72" s="1121">
        <v>1895211</v>
      </c>
      <c r="H72" s="1121">
        <v>35362092</v>
      </c>
      <c r="I72" s="1729" t="s">
        <v>2526</v>
      </c>
    </row>
    <row r="73" spans="1:9" ht="25.5">
      <c r="A73" s="1782" t="s">
        <v>2674</v>
      </c>
      <c r="B73" s="1506" t="s">
        <v>2516</v>
      </c>
      <c r="C73" s="1507" t="s">
        <v>2519</v>
      </c>
      <c r="D73" s="1507">
        <v>206</v>
      </c>
      <c r="E73" s="1507">
        <v>2</v>
      </c>
      <c r="F73" s="1507">
        <v>899</v>
      </c>
      <c r="G73" s="1507" t="s">
        <v>2519</v>
      </c>
      <c r="H73" s="1507">
        <v>299</v>
      </c>
      <c r="I73" s="1783" t="s">
        <v>2525</v>
      </c>
    </row>
    <row r="74" spans="1:9" ht="25.5">
      <c r="A74" s="1781" t="s">
        <v>2675</v>
      </c>
      <c r="B74" s="627" t="s">
        <v>2516</v>
      </c>
      <c r="C74" s="1121">
        <v>138042</v>
      </c>
      <c r="D74" s="1121">
        <v>3965292</v>
      </c>
      <c r="E74" s="1121">
        <v>78747</v>
      </c>
      <c r="F74" s="1121">
        <v>3440562</v>
      </c>
      <c r="G74" s="1121">
        <v>111653</v>
      </c>
      <c r="H74" s="1121">
        <v>5292058</v>
      </c>
      <c r="I74" s="1729" t="s">
        <v>2524</v>
      </c>
    </row>
    <row r="75" spans="1:9" ht="25.5">
      <c r="A75" s="1781" t="s">
        <v>2676</v>
      </c>
      <c r="B75" s="627" t="s">
        <v>2516</v>
      </c>
      <c r="C75" s="1121">
        <v>19</v>
      </c>
      <c r="D75" s="1121">
        <v>1116</v>
      </c>
      <c r="E75" s="1121" t="s">
        <v>110</v>
      </c>
      <c r="F75" s="1121" t="s">
        <v>110</v>
      </c>
      <c r="G75" s="1121">
        <v>19</v>
      </c>
      <c r="H75" s="1121">
        <v>1174</v>
      </c>
      <c r="I75" s="1729" t="s">
        <v>2523</v>
      </c>
    </row>
    <row r="76" spans="1:9" ht="25.5">
      <c r="A76" s="1782" t="s">
        <v>2677</v>
      </c>
      <c r="B76" s="1506" t="s">
        <v>2516</v>
      </c>
      <c r="C76" s="1507">
        <v>447</v>
      </c>
      <c r="D76" s="1507">
        <v>69234</v>
      </c>
      <c r="E76" s="1507">
        <v>121</v>
      </c>
      <c r="F76" s="1507">
        <v>9104</v>
      </c>
      <c r="G76" s="1507">
        <v>151</v>
      </c>
      <c r="H76" s="1507">
        <v>14800</v>
      </c>
      <c r="I76" s="1783" t="s">
        <v>2522</v>
      </c>
    </row>
    <row r="77" spans="1:9" ht="25.5">
      <c r="A77" s="1781" t="s">
        <v>2678</v>
      </c>
      <c r="B77" s="627" t="s">
        <v>2516</v>
      </c>
      <c r="C77" s="1121">
        <v>7006</v>
      </c>
      <c r="D77" s="1121">
        <v>349104</v>
      </c>
      <c r="E77" s="1121">
        <v>999</v>
      </c>
      <c r="F77" s="1121">
        <v>77967</v>
      </c>
      <c r="G77" s="1121">
        <v>5869</v>
      </c>
      <c r="H77" s="1121">
        <v>436744</v>
      </c>
      <c r="I77" s="1729" t="s">
        <v>2521</v>
      </c>
    </row>
    <row r="78" spans="1:9" ht="25.5">
      <c r="A78" s="1781" t="s">
        <v>2679</v>
      </c>
      <c r="B78" s="627" t="s">
        <v>2516</v>
      </c>
      <c r="C78" s="1121">
        <v>416</v>
      </c>
      <c r="D78" s="1121">
        <v>11024</v>
      </c>
      <c r="E78" s="1121">
        <v>696</v>
      </c>
      <c r="F78" s="1121">
        <v>17234</v>
      </c>
      <c r="G78" s="1121">
        <v>1096</v>
      </c>
      <c r="H78" s="1121">
        <v>25520</v>
      </c>
      <c r="I78" s="1729" t="s">
        <v>2376</v>
      </c>
    </row>
    <row r="79" spans="1:9" ht="25.5">
      <c r="A79" s="1782" t="s">
        <v>2680</v>
      </c>
      <c r="B79" s="1506" t="s">
        <v>2516</v>
      </c>
      <c r="C79" s="1121">
        <v>7</v>
      </c>
      <c r="D79" s="1507">
        <v>263</v>
      </c>
      <c r="E79" s="1507" t="s">
        <v>2519</v>
      </c>
      <c r="F79" s="1507">
        <v>10</v>
      </c>
      <c r="G79" s="1507" t="s">
        <v>110</v>
      </c>
      <c r="H79" s="1507" t="s">
        <v>110</v>
      </c>
      <c r="I79" s="1783" t="s">
        <v>2520</v>
      </c>
    </row>
    <row r="80" spans="1:9" ht="26.25" thickBot="1">
      <c r="A80" s="1787" t="s">
        <v>2378</v>
      </c>
      <c r="B80" s="1614" t="s">
        <v>2516</v>
      </c>
      <c r="C80" s="1615">
        <v>22616</v>
      </c>
      <c r="D80" s="1615">
        <v>294800</v>
      </c>
      <c r="E80" s="1615">
        <v>24049</v>
      </c>
      <c r="F80" s="1615">
        <v>370375</v>
      </c>
      <c r="G80" s="1615">
        <v>30625</v>
      </c>
      <c r="H80" s="1615">
        <v>675667</v>
      </c>
      <c r="I80" s="1788" t="s">
        <v>2378</v>
      </c>
    </row>
    <row r="81" spans="1:9" ht="26.25" thickTop="1">
      <c r="A81" s="1789" t="s">
        <v>2681</v>
      </c>
      <c r="B81" s="1688" t="s">
        <v>2516</v>
      </c>
      <c r="C81" s="1689">
        <v>101</v>
      </c>
      <c r="D81" s="1689">
        <v>2667</v>
      </c>
      <c r="E81" s="1689">
        <v>804</v>
      </c>
      <c r="F81" s="1689">
        <v>9530</v>
      </c>
      <c r="G81" s="1689">
        <v>720</v>
      </c>
      <c r="H81" s="1689">
        <v>24772</v>
      </c>
      <c r="I81" s="1790" t="s">
        <v>2518</v>
      </c>
    </row>
    <row r="82" spans="1:9" ht="25.5">
      <c r="A82" s="1782" t="s">
        <v>2682</v>
      </c>
      <c r="B82" s="1506" t="s">
        <v>2516</v>
      </c>
      <c r="C82" s="1507">
        <v>56166</v>
      </c>
      <c r="D82" s="1507">
        <v>6073420</v>
      </c>
      <c r="E82" s="1507">
        <v>68675</v>
      </c>
      <c r="F82" s="1507">
        <v>6993378</v>
      </c>
      <c r="G82" s="1507">
        <v>94839</v>
      </c>
      <c r="H82" s="1507">
        <v>11260337</v>
      </c>
      <c r="I82" s="1783" t="s">
        <v>2517</v>
      </c>
    </row>
    <row r="83" spans="1:9">
      <c r="A83" s="1903" t="s">
        <v>143</v>
      </c>
      <c r="B83" s="1904"/>
      <c r="C83" s="1101" t="s">
        <v>2515</v>
      </c>
      <c r="D83" s="1101">
        <v>11515303006</v>
      </c>
      <c r="E83" s="1101" t="s">
        <v>2515</v>
      </c>
      <c r="F83" s="1101">
        <v>7913202918</v>
      </c>
      <c r="G83" s="1101" t="s">
        <v>2515</v>
      </c>
      <c r="H83" s="1101">
        <v>15513800326</v>
      </c>
      <c r="I83" s="1784" t="s">
        <v>50</v>
      </c>
    </row>
    <row r="84" spans="1:9">
      <c r="A84" s="1894" t="s">
        <v>2684</v>
      </c>
      <c r="B84" s="1895"/>
      <c r="C84" s="1895"/>
      <c r="D84" s="1895"/>
      <c r="E84" s="1895"/>
      <c r="F84" s="1895"/>
      <c r="G84" s="1895"/>
      <c r="H84" s="1895"/>
      <c r="I84" s="1896"/>
    </row>
    <row r="85" spans="1:9" ht="15" customHeight="1">
      <c r="A85" s="1891" t="s">
        <v>2685</v>
      </c>
      <c r="B85" s="1892"/>
      <c r="C85" s="1892"/>
      <c r="D85" s="1892"/>
      <c r="E85" s="1892"/>
      <c r="F85" s="1892"/>
      <c r="G85" s="1892"/>
      <c r="H85" s="1892"/>
      <c r="I85" s="1893"/>
    </row>
    <row r="86" spans="1:9">
      <c r="A86" s="1891"/>
      <c r="B86" s="1892"/>
      <c r="C86" s="1892"/>
      <c r="D86" s="1892"/>
      <c r="E86" s="1892"/>
      <c r="F86" s="1892"/>
      <c r="G86" s="1892"/>
      <c r="H86" s="1892"/>
      <c r="I86" s="1893"/>
    </row>
    <row r="87" spans="1:9" ht="15.75" thickBot="1">
      <c r="A87" s="179"/>
      <c r="B87" s="181"/>
      <c r="C87" s="181"/>
      <c r="D87" s="181"/>
      <c r="E87" s="181"/>
      <c r="F87" s="181"/>
      <c r="G87" s="181"/>
      <c r="H87" s="181"/>
      <c r="I87" s="1332"/>
    </row>
    <row r="88" spans="1:9" ht="15.75" thickTop="1">
      <c r="A88"/>
      <c r="B88"/>
      <c r="C88"/>
      <c r="D88"/>
      <c r="E88"/>
      <c r="F88"/>
      <c r="G88"/>
      <c r="H88"/>
    </row>
    <row r="89" spans="1:9">
      <c r="A89"/>
      <c r="B89"/>
      <c r="C89"/>
      <c r="D89"/>
      <c r="E89"/>
      <c r="F89"/>
      <c r="G89"/>
      <c r="H89"/>
    </row>
    <row r="90" spans="1:9">
      <c r="A90"/>
      <c r="B90"/>
      <c r="C90"/>
      <c r="D90"/>
      <c r="E90"/>
      <c r="F90"/>
      <c r="G90"/>
      <c r="H90"/>
    </row>
    <row r="91" spans="1:9">
      <c r="A91"/>
      <c r="B91"/>
      <c r="C91"/>
      <c r="D91"/>
      <c r="E91"/>
      <c r="F91"/>
      <c r="G91"/>
      <c r="H91"/>
    </row>
    <row r="92" spans="1:9">
      <c r="A92"/>
      <c r="B92"/>
      <c r="C92"/>
      <c r="D92"/>
      <c r="E92"/>
      <c r="F92"/>
      <c r="G92"/>
      <c r="H92"/>
    </row>
    <row r="93" spans="1:9">
      <c r="A93"/>
      <c r="B93"/>
      <c r="C93"/>
      <c r="D93"/>
      <c r="E93"/>
      <c r="F93"/>
      <c r="G93"/>
      <c r="H93"/>
    </row>
    <row r="94" spans="1:9">
      <c r="A94"/>
      <c r="B94"/>
      <c r="C94"/>
      <c r="D94"/>
      <c r="E94"/>
      <c r="F94"/>
      <c r="G94"/>
      <c r="H94"/>
    </row>
    <row r="95" spans="1:9">
      <c r="A95"/>
      <c r="B95"/>
      <c r="C95"/>
      <c r="D95"/>
      <c r="E95"/>
      <c r="F95"/>
      <c r="G95"/>
      <c r="H95"/>
    </row>
    <row r="96" spans="1:9">
      <c r="A96"/>
      <c r="B96"/>
      <c r="C96"/>
      <c r="D96"/>
      <c r="E96"/>
      <c r="F96"/>
      <c r="G96"/>
      <c r="H96"/>
    </row>
    <row r="97" spans="1:8">
      <c r="A97"/>
      <c r="B97"/>
      <c r="C97"/>
      <c r="D97"/>
      <c r="E97"/>
      <c r="F97"/>
      <c r="G97"/>
      <c r="H97"/>
    </row>
    <row r="98" spans="1:8">
      <c r="A98"/>
      <c r="B98"/>
      <c r="C98"/>
      <c r="D98"/>
      <c r="E98"/>
      <c r="F98"/>
      <c r="G98"/>
      <c r="H98"/>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sheetData>
  <mergeCells count="10">
    <mergeCell ref="A85:I86"/>
    <mergeCell ref="A84:I84"/>
    <mergeCell ref="A1:I1"/>
    <mergeCell ref="A2:I2"/>
    <mergeCell ref="A83:B83"/>
    <mergeCell ref="A3:A4"/>
    <mergeCell ref="B3:B4"/>
    <mergeCell ref="C3:D3"/>
    <mergeCell ref="E3:F3"/>
    <mergeCell ref="G3:H3"/>
  </mergeCells>
  <printOptions horizontalCentered="1"/>
  <pageMargins left="0.39370078740157483" right="0.31496062992125984" top="0.23622047244094491" bottom="0.11811023622047245" header="0.23622047244094491" footer="0.15748031496062992"/>
  <pageSetup paperSize="9" scale="75" fitToWidth="0" fitToHeight="0" orientation="landscape" r:id="rId1"/>
  <rowBreaks count="2" manualBreakCount="2">
    <brk id="30" max="8" man="1"/>
    <brk id="54" max="8" man="1"/>
  </rowBreaks>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5E27D-24D4-4CB5-9340-052B53256334}">
  <dimension ref="A1:AE44"/>
  <sheetViews>
    <sheetView view="pageBreakPreview" zoomScaleSheetLayoutView="100" workbookViewId="0">
      <selection activeCell="S17" sqref="S17"/>
    </sheetView>
  </sheetViews>
  <sheetFormatPr defaultColWidth="9.140625" defaultRowHeight="15"/>
  <cols>
    <col min="1" max="1" width="7" style="491" customWidth="1"/>
    <col min="2" max="2" width="24.42578125" style="1" customWidth="1"/>
    <col min="3" max="4" width="10.42578125" style="1" hidden="1" customWidth="1"/>
    <col min="5" max="11" width="10.42578125" style="1" customWidth="1"/>
    <col min="12" max="12" width="21.7109375" style="29" customWidth="1"/>
    <col min="13" max="16384" width="9.140625" style="1"/>
  </cols>
  <sheetData>
    <row r="1" spans="1:31" s="33" customFormat="1" ht="20.25" customHeight="1" thickTop="1">
      <c r="A1" s="2220" t="s">
        <v>2776</v>
      </c>
      <c r="B1" s="1869"/>
      <c r="C1" s="1869"/>
      <c r="D1" s="1869"/>
      <c r="E1" s="1869"/>
      <c r="F1" s="1869"/>
      <c r="G1" s="1869"/>
      <c r="H1" s="1869"/>
      <c r="I1" s="1869"/>
      <c r="J1" s="1869"/>
      <c r="K1" s="1869"/>
      <c r="L1" s="1870"/>
    </row>
    <row r="2" spans="1:31" s="33" customFormat="1" ht="20.25" customHeight="1">
      <c r="A2" s="2224" t="s">
        <v>2775</v>
      </c>
      <c r="B2" s="2193"/>
      <c r="C2" s="2193"/>
      <c r="D2" s="2193"/>
      <c r="E2" s="2193"/>
      <c r="F2" s="2193"/>
      <c r="G2" s="2193"/>
      <c r="H2" s="2193"/>
      <c r="I2" s="2193"/>
      <c r="J2" s="2193"/>
      <c r="K2" s="2193"/>
      <c r="L2" s="2225"/>
    </row>
    <row r="3" spans="1:31" s="7" customFormat="1" ht="20.25" customHeight="1">
      <c r="A3" s="2261" t="s">
        <v>1616</v>
      </c>
      <c r="B3" s="2249"/>
      <c r="C3" s="2249"/>
      <c r="D3" s="2249"/>
      <c r="E3" s="2249"/>
      <c r="F3" s="2249"/>
      <c r="G3" s="2249"/>
      <c r="H3" s="2249"/>
      <c r="I3" s="2249"/>
      <c r="J3" s="2249"/>
      <c r="K3" s="2249"/>
      <c r="L3" s="2262"/>
    </row>
    <row r="4" spans="1:31" s="834" customFormat="1" ht="30.75" customHeight="1">
      <c r="A4" s="825" t="s">
        <v>688</v>
      </c>
      <c r="B4" s="1139" t="s">
        <v>141</v>
      </c>
      <c r="C4" s="1146" t="s">
        <v>2</v>
      </c>
      <c r="D4" s="1139" t="s">
        <v>3</v>
      </c>
      <c r="E4" s="1139" t="s">
        <v>13</v>
      </c>
      <c r="F4" s="1139" t="s">
        <v>41</v>
      </c>
      <c r="G4" s="1139" t="s">
        <v>42</v>
      </c>
      <c r="H4" s="1139" t="s">
        <v>129</v>
      </c>
      <c r="I4" s="1139" t="s">
        <v>142</v>
      </c>
      <c r="J4" s="1139" t="s">
        <v>276</v>
      </c>
      <c r="K4" s="1139" t="s">
        <v>522</v>
      </c>
      <c r="L4" s="1149" t="s">
        <v>1612</v>
      </c>
      <c r="AE4" s="823" t="s">
        <v>520</v>
      </c>
    </row>
    <row r="5" spans="1:31" ht="20.100000000000001" customHeight="1">
      <c r="A5" s="1157">
        <v>1</v>
      </c>
      <c r="B5" s="769" t="s">
        <v>680</v>
      </c>
      <c r="C5" s="235">
        <v>184480</v>
      </c>
      <c r="D5" s="397">
        <v>179676</v>
      </c>
      <c r="E5" s="397">
        <v>184207</v>
      </c>
      <c r="F5" s="397">
        <v>169774</v>
      </c>
      <c r="G5" s="397">
        <v>166918</v>
      </c>
      <c r="H5" s="397">
        <v>180520</v>
      </c>
      <c r="I5" s="397">
        <v>189223.66739066542</v>
      </c>
      <c r="J5" s="397">
        <v>164049.00646147545</v>
      </c>
      <c r="K5" s="397">
        <v>190939.16638476006</v>
      </c>
      <c r="L5" s="630" t="s">
        <v>14</v>
      </c>
    </row>
    <row r="6" spans="1:31" ht="20.100000000000001" customHeight="1">
      <c r="A6" s="1157">
        <v>2</v>
      </c>
      <c r="B6" s="769" t="s">
        <v>912</v>
      </c>
      <c r="C6" s="235">
        <v>21255</v>
      </c>
      <c r="D6" s="397">
        <v>27654</v>
      </c>
      <c r="E6" s="397">
        <v>30514</v>
      </c>
      <c r="F6" s="397">
        <v>32847</v>
      </c>
      <c r="G6" s="397">
        <v>32219</v>
      </c>
      <c r="H6" s="397">
        <v>31612</v>
      </c>
      <c r="I6" s="397">
        <v>29231.309410390739</v>
      </c>
      <c r="J6" s="397">
        <v>28407.124243468072</v>
      </c>
      <c r="K6" s="397">
        <v>27722.660310611191</v>
      </c>
      <c r="L6" s="630" t="s">
        <v>15</v>
      </c>
    </row>
    <row r="7" spans="1:31" ht="20.100000000000001" customHeight="1">
      <c r="A7" s="1157">
        <v>3</v>
      </c>
      <c r="B7" s="769" t="s">
        <v>215</v>
      </c>
      <c r="C7" s="235">
        <v>117629</v>
      </c>
      <c r="D7" s="397">
        <v>110248</v>
      </c>
      <c r="E7" s="397">
        <v>135278</v>
      </c>
      <c r="F7" s="397">
        <v>145635</v>
      </c>
      <c r="G7" s="397">
        <v>146278</v>
      </c>
      <c r="H7" s="397">
        <v>112213</v>
      </c>
      <c r="I7" s="397">
        <v>105178.64581885259</v>
      </c>
      <c r="J7" s="397">
        <v>106712.49016232413</v>
      </c>
      <c r="K7" s="397">
        <v>106869.4360714025</v>
      </c>
      <c r="L7" s="630" t="s">
        <v>21</v>
      </c>
    </row>
    <row r="8" spans="1:31" ht="20.100000000000001" customHeight="1">
      <c r="A8" s="1157">
        <v>4</v>
      </c>
      <c r="B8" s="769" t="s">
        <v>809</v>
      </c>
      <c r="C8" s="235">
        <v>321833</v>
      </c>
      <c r="D8" s="397">
        <v>355222</v>
      </c>
      <c r="E8" s="397">
        <v>393077</v>
      </c>
      <c r="F8" s="397">
        <v>442416</v>
      </c>
      <c r="G8" s="397">
        <v>489599</v>
      </c>
      <c r="H8" s="397">
        <v>541556</v>
      </c>
      <c r="I8" s="397">
        <v>608177.1367286141</v>
      </c>
      <c r="J8" s="397">
        <v>674001.35564210231</v>
      </c>
      <c r="K8" s="397">
        <v>747065.05538811523</v>
      </c>
      <c r="L8" s="630" t="s">
        <v>22</v>
      </c>
    </row>
    <row r="9" spans="1:31" ht="20.100000000000001" customHeight="1">
      <c r="A9" s="1157">
        <v>5</v>
      </c>
      <c r="B9" s="769" t="s">
        <v>911</v>
      </c>
      <c r="C9" s="235">
        <v>123457</v>
      </c>
      <c r="D9" s="397">
        <v>174586</v>
      </c>
      <c r="E9" s="397">
        <v>205689</v>
      </c>
      <c r="F9" s="397">
        <v>238800</v>
      </c>
      <c r="G9" s="397">
        <v>243959</v>
      </c>
      <c r="H9" s="397">
        <v>177637</v>
      </c>
      <c r="I9" s="397">
        <v>200512.09272721593</v>
      </c>
      <c r="J9" s="397">
        <v>250462.96633779511</v>
      </c>
      <c r="K9" s="397">
        <v>287989.41838932747</v>
      </c>
      <c r="L9" s="630" t="s">
        <v>23</v>
      </c>
    </row>
    <row r="10" spans="1:31" ht="20.100000000000001" customHeight="1">
      <c r="A10" s="1157">
        <v>6</v>
      </c>
      <c r="B10" s="769" t="s">
        <v>216</v>
      </c>
      <c r="C10" s="31">
        <v>607</v>
      </c>
      <c r="D10" s="5">
        <v>568</v>
      </c>
      <c r="E10" s="397">
        <v>3122</v>
      </c>
      <c r="F10" s="397">
        <v>2928</v>
      </c>
      <c r="G10" s="397">
        <v>2734</v>
      </c>
      <c r="H10" s="397">
        <v>2558</v>
      </c>
      <c r="I10" s="397">
        <v>2424.2316993748486</v>
      </c>
      <c r="J10" s="397">
        <v>2270.4255508911369</v>
      </c>
      <c r="K10" s="397">
        <v>2121.1542054578122</v>
      </c>
      <c r="L10" s="630" t="s">
        <v>16</v>
      </c>
    </row>
    <row r="11" spans="1:31" ht="20.100000000000001" customHeight="1">
      <c r="A11" s="1157">
        <v>7</v>
      </c>
      <c r="B11" s="769" t="s">
        <v>877</v>
      </c>
      <c r="C11" s="235">
        <v>206925</v>
      </c>
      <c r="D11" s="397">
        <v>257067</v>
      </c>
      <c r="E11" s="397">
        <v>267567</v>
      </c>
      <c r="F11" s="397">
        <v>300794</v>
      </c>
      <c r="G11" s="397">
        <v>341497</v>
      </c>
      <c r="H11" s="397">
        <v>351305</v>
      </c>
      <c r="I11" s="397">
        <v>345631.0806827654</v>
      </c>
      <c r="J11" s="397">
        <v>392693.83082525345</v>
      </c>
      <c r="K11" s="397">
        <v>410458.26738227613</v>
      </c>
      <c r="L11" s="630" t="s">
        <v>17</v>
      </c>
    </row>
    <row r="12" spans="1:31" ht="20.100000000000001" customHeight="1">
      <c r="A12" s="1157">
        <v>8</v>
      </c>
      <c r="B12" s="769" t="s">
        <v>1156</v>
      </c>
      <c r="C12" s="235">
        <v>36740</v>
      </c>
      <c r="D12" s="397">
        <v>47043</v>
      </c>
      <c r="E12" s="397">
        <v>32111</v>
      </c>
      <c r="F12" s="397">
        <v>25582</v>
      </c>
      <c r="G12" s="397">
        <v>21227</v>
      </c>
      <c r="H12" s="397">
        <v>10539</v>
      </c>
      <c r="I12" s="397">
        <v>8696.8318959281987</v>
      </c>
      <c r="J12" s="397">
        <v>8416.033600161014</v>
      </c>
      <c r="K12" s="397">
        <v>7309.520128217895</v>
      </c>
      <c r="L12" s="630" t="s">
        <v>25</v>
      </c>
    </row>
    <row r="13" spans="1:31" ht="20.100000000000001" customHeight="1">
      <c r="A13" s="1157">
        <v>9</v>
      </c>
      <c r="B13" s="769" t="s">
        <v>1155</v>
      </c>
      <c r="C13" s="235">
        <v>78216</v>
      </c>
      <c r="D13" s="397">
        <v>87860</v>
      </c>
      <c r="E13" s="397">
        <v>105660</v>
      </c>
      <c r="F13" s="397">
        <v>122261</v>
      </c>
      <c r="G13" s="397">
        <v>136177</v>
      </c>
      <c r="H13" s="397">
        <v>137814</v>
      </c>
      <c r="I13" s="397">
        <v>135248.01640188592</v>
      </c>
      <c r="J13" s="397">
        <v>135228.60517777142</v>
      </c>
      <c r="K13" s="397">
        <v>136469.62099563633</v>
      </c>
      <c r="L13" s="630" t="s">
        <v>5</v>
      </c>
    </row>
    <row r="14" spans="1:31" ht="20.100000000000001" customHeight="1">
      <c r="A14" s="1157">
        <v>10</v>
      </c>
      <c r="B14" s="769" t="s">
        <v>1154</v>
      </c>
      <c r="C14" s="235">
        <v>79803</v>
      </c>
      <c r="D14" s="397">
        <v>82050</v>
      </c>
      <c r="E14" s="397">
        <v>78831</v>
      </c>
      <c r="F14" s="397">
        <v>88831</v>
      </c>
      <c r="G14" s="397">
        <v>92180</v>
      </c>
      <c r="H14" s="397">
        <v>95467</v>
      </c>
      <c r="I14" s="397">
        <v>95510.105707399227</v>
      </c>
      <c r="J14" s="397">
        <v>101423.07344809359</v>
      </c>
      <c r="K14" s="397">
        <v>103595.28534794864</v>
      </c>
      <c r="L14" s="630" t="s">
        <v>632</v>
      </c>
    </row>
    <row r="15" spans="1:31" ht="20.100000000000001" customHeight="1">
      <c r="A15" s="1157">
        <v>11</v>
      </c>
      <c r="B15" s="769" t="s">
        <v>861</v>
      </c>
      <c r="C15" s="235">
        <v>182817</v>
      </c>
      <c r="D15" s="397">
        <v>198719</v>
      </c>
      <c r="E15" s="397">
        <v>203990</v>
      </c>
      <c r="F15" s="397">
        <v>205107</v>
      </c>
      <c r="G15" s="397">
        <v>203490</v>
      </c>
      <c r="H15" s="397">
        <v>202115</v>
      </c>
      <c r="I15" s="397">
        <v>192907.93808852867</v>
      </c>
      <c r="J15" s="397">
        <v>222162.47100603438</v>
      </c>
      <c r="K15" s="397">
        <v>226507.71577926129</v>
      </c>
      <c r="L15" s="630" t="s">
        <v>27</v>
      </c>
    </row>
    <row r="16" spans="1:31" ht="20.100000000000001" customHeight="1">
      <c r="A16" s="1157">
        <v>12</v>
      </c>
      <c r="B16" s="769" t="s">
        <v>140</v>
      </c>
      <c r="C16" s="235">
        <v>436703</v>
      </c>
      <c r="D16" s="397">
        <v>495229</v>
      </c>
      <c r="E16" s="397">
        <v>516305</v>
      </c>
      <c r="F16" s="397">
        <v>518717</v>
      </c>
      <c r="G16" s="397">
        <v>537599</v>
      </c>
      <c r="H16" s="397">
        <v>534936</v>
      </c>
      <c r="I16" s="397">
        <v>556865.82931534736</v>
      </c>
      <c r="J16" s="397">
        <v>600481.14271179622</v>
      </c>
      <c r="K16" s="397">
        <v>656832.29900668561</v>
      </c>
      <c r="L16" s="630" t="s">
        <v>28</v>
      </c>
    </row>
    <row r="17" spans="1:12" ht="20.100000000000001" customHeight="1">
      <c r="A17" s="1157">
        <v>13</v>
      </c>
      <c r="B17" s="769" t="s">
        <v>874</v>
      </c>
      <c r="C17" s="235">
        <v>249087</v>
      </c>
      <c r="D17" s="397">
        <v>268911</v>
      </c>
      <c r="E17" s="397">
        <v>385544</v>
      </c>
      <c r="F17" s="397">
        <v>385447</v>
      </c>
      <c r="G17" s="397">
        <v>465898</v>
      </c>
      <c r="H17" s="397">
        <v>466212</v>
      </c>
      <c r="I17" s="397">
        <v>503870.03446859034</v>
      </c>
      <c r="J17" s="397">
        <v>535110.23798643413</v>
      </c>
      <c r="K17" s="397">
        <v>532132.74062546005</v>
      </c>
      <c r="L17" s="630" t="s">
        <v>6</v>
      </c>
    </row>
    <row r="18" spans="1:12" ht="20.100000000000001" customHeight="1">
      <c r="A18" s="1157">
        <v>14</v>
      </c>
      <c r="B18" s="769" t="s">
        <v>909</v>
      </c>
      <c r="C18" s="235">
        <v>195208</v>
      </c>
      <c r="D18" s="397">
        <v>209994</v>
      </c>
      <c r="E18" s="397">
        <v>234740</v>
      </c>
      <c r="F18" s="397">
        <v>255556</v>
      </c>
      <c r="G18" s="397">
        <v>279950</v>
      </c>
      <c r="H18" s="397">
        <v>282639</v>
      </c>
      <c r="I18" s="397">
        <v>312472.13531094149</v>
      </c>
      <c r="J18" s="397">
        <v>371170.08883142605</v>
      </c>
      <c r="K18" s="397">
        <v>414766.22830430197</v>
      </c>
      <c r="L18" s="630" t="s">
        <v>18</v>
      </c>
    </row>
    <row r="19" spans="1:12" ht="20.100000000000001" customHeight="1">
      <c r="A19" s="1157">
        <v>15</v>
      </c>
      <c r="B19" s="769" t="s">
        <v>138</v>
      </c>
      <c r="C19" s="235">
        <v>438765</v>
      </c>
      <c r="D19" s="397">
        <v>448934</v>
      </c>
      <c r="E19" s="397">
        <v>483506</v>
      </c>
      <c r="F19" s="397">
        <v>473452</v>
      </c>
      <c r="G19" s="397">
        <v>309894</v>
      </c>
      <c r="H19" s="397">
        <v>262494</v>
      </c>
      <c r="I19" s="397">
        <v>268758.8740310162</v>
      </c>
      <c r="J19" s="397">
        <v>324406.93167917785</v>
      </c>
      <c r="K19" s="397">
        <v>294209.44991137425</v>
      </c>
      <c r="L19" s="630" t="s">
        <v>29</v>
      </c>
    </row>
    <row r="20" spans="1:12" ht="20.100000000000001" customHeight="1">
      <c r="A20" s="1157">
        <v>16</v>
      </c>
      <c r="B20" s="769" t="s">
        <v>1137</v>
      </c>
      <c r="C20" s="235">
        <v>7577</v>
      </c>
      <c r="D20" s="397">
        <v>8023</v>
      </c>
      <c r="E20" s="397">
        <v>7960</v>
      </c>
      <c r="F20" s="397">
        <v>7983</v>
      </c>
      <c r="G20" s="397">
        <v>6912</v>
      </c>
      <c r="H20" s="397">
        <v>6543</v>
      </c>
      <c r="I20" s="397">
        <v>6409.2321907460437</v>
      </c>
      <c r="J20" s="397">
        <v>6179.9342043031002</v>
      </c>
      <c r="K20" s="397">
        <v>5167.9311976408171</v>
      </c>
      <c r="L20" s="630" t="s">
        <v>19</v>
      </c>
    </row>
    <row r="21" spans="1:12" ht="20.100000000000001" customHeight="1">
      <c r="A21" s="1157">
        <v>17</v>
      </c>
      <c r="B21" s="769" t="s">
        <v>908</v>
      </c>
      <c r="C21" s="235">
        <v>6496</v>
      </c>
      <c r="D21" s="397">
        <v>7147</v>
      </c>
      <c r="E21" s="397">
        <v>6950</v>
      </c>
      <c r="F21" s="397">
        <v>7887</v>
      </c>
      <c r="G21" s="397">
        <v>7626</v>
      </c>
      <c r="H21" s="397">
        <v>7568</v>
      </c>
      <c r="I21" s="397">
        <v>6672.1139896691557</v>
      </c>
      <c r="J21" s="397">
        <v>6050.3846537931522</v>
      </c>
      <c r="K21" s="397">
        <v>5943.4457543145127</v>
      </c>
      <c r="L21" s="630" t="s">
        <v>8</v>
      </c>
    </row>
    <row r="22" spans="1:12" ht="20.100000000000001" customHeight="1">
      <c r="A22" s="1157">
        <v>18</v>
      </c>
      <c r="B22" s="769" t="s">
        <v>217</v>
      </c>
      <c r="C22" s="235">
        <v>11359</v>
      </c>
      <c r="D22" s="397">
        <v>11705</v>
      </c>
      <c r="E22" s="397">
        <v>15663</v>
      </c>
      <c r="F22" s="397">
        <v>15880</v>
      </c>
      <c r="G22" s="397">
        <v>18007</v>
      </c>
      <c r="H22" s="397">
        <v>20422</v>
      </c>
      <c r="I22" s="397">
        <v>19736.408879617222</v>
      </c>
      <c r="J22" s="397">
        <v>39705.564914780844</v>
      </c>
      <c r="K22" s="397">
        <v>44490.155008958398</v>
      </c>
      <c r="L22" s="630" t="s">
        <v>30</v>
      </c>
    </row>
    <row r="23" spans="1:12" ht="20.100000000000001" customHeight="1">
      <c r="A23" s="1157">
        <v>19</v>
      </c>
      <c r="B23" s="769" t="s">
        <v>139</v>
      </c>
      <c r="C23" s="235">
        <v>12013</v>
      </c>
      <c r="D23" s="397">
        <v>12472</v>
      </c>
      <c r="E23" s="397">
        <v>13262</v>
      </c>
      <c r="F23" s="397">
        <v>15435</v>
      </c>
      <c r="G23" s="397">
        <v>17035</v>
      </c>
      <c r="H23" s="397">
        <v>23726</v>
      </c>
      <c r="I23" s="397">
        <v>21641.918001496553</v>
      </c>
      <c r="J23" s="397">
        <v>12774.858326922635</v>
      </c>
      <c r="K23" s="397">
        <v>11775.776492500654</v>
      </c>
      <c r="L23" s="630" t="s">
        <v>31</v>
      </c>
    </row>
    <row r="24" spans="1:12" ht="20.100000000000001" customHeight="1">
      <c r="A24" s="1157">
        <v>20</v>
      </c>
      <c r="B24" s="769" t="s">
        <v>856</v>
      </c>
      <c r="C24" s="235">
        <v>350728</v>
      </c>
      <c r="D24" s="397">
        <v>390519</v>
      </c>
      <c r="E24" s="397">
        <v>447108</v>
      </c>
      <c r="F24" s="397">
        <v>455614</v>
      </c>
      <c r="G24" s="397">
        <v>515549</v>
      </c>
      <c r="H24" s="397">
        <v>480408</v>
      </c>
      <c r="I24" s="397">
        <v>470969.38926894119</v>
      </c>
      <c r="J24" s="397">
        <v>492967.12535726326</v>
      </c>
      <c r="K24" s="397">
        <v>555529.75350454752</v>
      </c>
      <c r="L24" s="630" t="s">
        <v>9</v>
      </c>
    </row>
    <row r="25" spans="1:12" ht="20.100000000000001" customHeight="1">
      <c r="A25" s="1157">
        <v>21</v>
      </c>
      <c r="B25" s="769" t="s">
        <v>1152</v>
      </c>
      <c r="C25" s="235">
        <v>88944</v>
      </c>
      <c r="D25" s="397">
        <v>94647</v>
      </c>
      <c r="E25" s="397">
        <v>94040</v>
      </c>
      <c r="F25" s="397">
        <v>99858</v>
      </c>
      <c r="G25" s="397">
        <v>117752</v>
      </c>
      <c r="H25" s="397">
        <v>117272</v>
      </c>
      <c r="I25" s="397">
        <v>126391.47054611289</v>
      </c>
      <c r="J25" s="397">
        <v>128941.35512793643</v>
      </c>
      <c r="K25" s="397">
        <v>131878.21509218635</v>
      </c>
      <c r="L25" s="630" t="s">
        <v>32</v>
      </c>
    </row>
    <row r="26" spans="1:12" ht="20.100000000000001" customHeight="1">
      <c r="A26" s="1157">
        <v>22</v>
      </c>
      <c r="B26" s="769" t="s">
        <v>872</v>
      </c>
      <c r="C26" s="235">
        <v>426670</v>
      </c>
      <c r="D26" s="397">
        <v>535889</v>
      </c>
      <c r="E26" s="397">
        <v>580386</v>
      </c>
      <c r="F26" s="397">
        <v>655162</v>
      </c>
      <c r="G26" s="397">
        <v>614250</v>
      </c>
      <c r="H26" s="397">
        <v>579707</v>
      </c>
      <c r="I26" s="397">
        <v>634732.93279681588</v>
      </c>
      <c r="J26" s="397">
        <v>610761.32321098412</v>
      </c>
      <c r="K26" s="397">
        <v>532214.56982668734</v>
      </c>
      <c r="L26" s="630" t="s">
        <v>33</v>
      </c>
    </row>
    <row r="27" spans="1:12" ht="20.100000000000001" customHeight="1">
      <c r="A27" s="1157">
        <v>23</v>
      </c>
      <c r="B27" s="769" t="s">
        <v>1139</v>
      </c>
      <c r="C27" s="31">
        <v>922</v>
      </c>
      <c r="D27" s="5">
        <v>895</v>
      </c>
      <c r="E27" s="5">
        <v>807</v>
      </c>
      <c r="F27" s="5">
        <v>784</v>
      </c>
      <c r="G27" s="397">
        <v>737</v>
      </c>
      <c r="H27" s="397">
        <v>677</v>
      </c>
      <c r="I27" s="397">
        <v>621.2723112462287</v>
      </c>
      <c r="J27" s="397">
        <v>568.75938440418088</v>
      </c>
      <c r="K27" s="397">
        <v>529.74459537135795</v>
      </c>
      <c r="L27" s="630" t="s">
        <v>20</v>
      </c>
    </row>
    <row r="28" spans="1:12" ht="20.100000000000001" customHeight="1">
      <c r="A28" s="1157">
        <v>24</v>
      </c>
      <c r="B28" s="769" t="s">
        <v>681</v>
      </c>
      <c r="C28" s="235">
        <v>273615</v>
      </c>
      <c r="D28" s="397">
        <v>262962</v>
      </c>
      <c r="E28" s="397">
        <v>306517</v>
      </c>
      <c r="F28" s="397">
        <v>302085</v>
      </c>
      <c r="G28" s="397">
        <v>353769</v>
      </c>
      <c r="H28" s="397">
        <v>355366</v>
      </c>
      <c r="I28" s="397">
        <v>347620.53705674683</v>
      </c>
      <c r="J28" s="397">
        <v>391514.98958971165</v>
      </c>
      <c r="K28" s="397">
        <v>449542.83891662187</v>
      </c>
      <c r="L28" s="630" t="s">
        <v>12</v>
      </c>
    </row>
    <row r="29" spans="1:12" ht="20.100000000000001" customHeight="1">
      <c r="A29" s="1157">
        <v>25</v>
      </c>
      <c r="B29" s="769" t="s">
        <v>218</v>
      </c>
      <c r="C29" s="235">
        <v>112570</v>
      </c>
      <c r="D29" s="397">
        <v>114179</v>
      </c>
      <c r="E29" s="397">
        <v>117308</v>
      </c>
      <c r="F29" s="397">
        <v>107329</v>
      </c>
      <c r="G29" s="397">
        <v>107120</v>
      </c>
      <c r="H29" s="397">
        <v>114347</v>
      </c>
      <c r="I29" s="397">
        <v>137035.27723746351</v>
      </c>
      <c r="J29" s="397">
        <v>77408.078060766144</v>
      </c>
      <c r="K29" s="397">
        <v>69391.714153721186</v>
      </c>
      <c r="L29" s="630" t="s">
        <v>39</v>
      </c>
    </row>
    <row r="30" spans="1:12" ht="20.100000000000001" customHeight="1">
      <c r="A30" s="1157">
        <v>26</v>
      </c>
      <c r="B30" s="769" t="s">
        <v>1136</v>
      </c>
      <c r="C30" s="235">
        <v>52962</v>
      </c>
      <c r="D30" s="397">
        <v>63800</v>
      </c>
      <c r="E30" s="397">
        <v>80998</v>
      </c>
      <c r="F30" s="397">
        <v>87954</v>
      </c>
      <c r="G30" s="397">
        <v>96190</v>
      </c>
      <c r="H30" s="397">
        <v>136677</v>
      </c>
      <c r="I30" s="397">
        <v>151457.29655229175</v>
      </c>
      <c r="J30" s="397">
        <v>165306.05275155549</v>
      </c>
      <c r="K30" s="397">
        <v>187835.74999337678</v>
      </c>
      <c r="L30" s="630" t="s">
        <v>34</v>
      </c>
    </row>
    <row r="31" spans="1:12" ht="20.100000000000001" customHeight="1">
      <c r="A31" s="1157">
        <v>27</v>
      </c>
      <c r="B31" s="769" t="s">
        <v>907</v>
      </c>
      <c r="C31" s="235">
        <v>475947</v>
      </c>
      <c r="D31" s="397">
        <v>498677</v>
      </c>
      <c r="E31" s="397">
        <v>470694</v>
      </c>
      <c r="F31" s="397">
        <v>463079</v>
      </c>
      <c r="G31" s="397">
        <v>448274</v>
      </c>
      <c r="H31" s="397">
        <v>431327</v>
      </c>
      <c r="I31" s="397">
        <v>395942.94029797526</v>
      </c>
      <c r="J31" s="397">
        <v>375762.12862367701</v>
      </c>
      <c r="K31" s="397">
        <v>426783.25779395062</v>
      </c>
      <c r="L31" s="630" t="s">
        <v>35</v>
      </c>
    </row>
    <row r="32" spans="1:12" ht="20.100000000000001" customHeight="1">
      <c r="A32" s="1157">
        <v>28</v>
      </c>
      <c r="B32" s="769" t="s">
        <v>1611</v>
      </c>
      <c r="C32" s="235">
        <v>92711</v>
      </c>
      <c r="D32" s="397">
        <v>100752</v>
      </c>
      <c r="E32" s="397">
        <v>85125</v>
      </c>
      <c r="F32" s="397">
        <v>71651</v>
      </c>
      <c r="G32" s="397">
        <v>65956</v>
      </c>
      <c r="H32" s="397">
        <v>64714</v>
      </c>
      <c r="I32" s="397">
        <v>72202.211811987712</v>
      </c>
      <c r="J32" s="397">
        <v>72812.145024719197</v>
      </c>
      <c r="K32" s="397">
        <v>105875.21749838762</v>
      </c>
      <c r="L32" s="630" t="s">
        <v>36</v>
      </c>
    </row>
    <row r="33" spans="1:12" ht="20.100000000000001" customHeight="1">
      <c r="A33" s="1157">
        <v>29</v>
      </c>
      <c r="B33" s="769" t="s">
        <v>219</v>
      </c>
      <c r="C33" s="235">
        <v>219590</v>
      </c>
      <c r="D33" s="397">
        <v>233681</v>
      </c>
      <c r="E33" s="397">
        <v>264750</v>
      </c>
      <c r="F33" s="397">
        <v>236658</v>
      </c>
      <c r="G33" s="397">
        <v>252930</v>
      </c>
      <c r="H33" s="397">
        <v>272659</v>
      </c>
      <c r="I33" s="397">
        <v>223875.62942074827</v>
      </c>
      <c r="J33" s="397">
        <v>235555.80895661909</v>
      </c>
      <c r="K33" s="397">
        <v>232546.51115382399</v>
      </c>
      <c r="L33" s="630" t="s">
        <v>37</v>
      </c>
    </row>
    <row r="34" spans="1:12" ht="30" customHeight="1">
      <c r="A34" s="1157">
        <v>30</v>
      </c>
      <c r="B34" s="769" t="s">
        <v>1610</v>
      </c>
      <c r="C34" s="235">
        <v>1024</v>
      </c>
      <c r="D34" s="397">
        <v>1086</v>
      </c>
      <c r="E34" s="397">
        <v>1344</v>
      </c>
      <c r="F34" s="397">
        <v>1425</v>
      </c>
      <c r="G34" s="397">
        <v>1568</v>
      </c>
      <c r="H34" s="397">
        <v>1660</v>
      </c>
      <c r="I34" s="397">
        <v>1584.2882484654049</v>
      </c>
      <c r="J34" s="397">
        <v>1680.1601545199171</v>
      </c>
      <c r="K34" s="397">
        <v>1738.9325720361105</v>
      </c>
      <c r="L34" s="862" t="s">
        <v>121</v>
      </c>
    </row>
    <row r="35" spans="1:12" ht="20.100000000000001" customHeight="1">
      <c r="A35" s="1157">
        <v>31</v>
      </c>
      <c r="B35" s="769" t="s">
        <v>1158</v>
      </c>
      <c r="C35" s="31">
        <v>346</v>
      </c>
      <c r="D35" s="5">
        <v>400</v>
      </c>
      <c r="E35" s="5">
        <v>431</v>
      </c>
      <c r="F35" s="5">
        <v>461</v>
      </c>
      <c r="G35" s="397">
        <v>484</v>
      </c>
      <c r="H35" s="397">
        <v>504</v>
      </c>
      <c r="I35" s="397">
        <v>490.40971990894064</v>
      </c>
      <c r="J35" s="397">
        <v>526.08610893903153</v>
      </c>
      <c r="K35" s="397">
        <v>541.35306233605456</v>
      </c>
      <c r="L35" s="630" t="s">
        <v>38</v>
      </c>
    </row>
    <row r="36" spans="1:12" ht="20.100000000000001" customHeight="1">
      <c r="A36" s="1157">
        <v>32</v>
      </c>
      <c r="B36" s="769" t="s">
        <v>1149</v>
      </c>
      <c r="C36" s="235">
        <v>1164</v>
      </c>
      <c r="D36" s="397">
        <v>1337</v>
      </c>
      <c r="E36" s="397">
        <v>1396</v>
      </c>
      <c r="F36" s="397">
        <v>1484</v>
      </c>
      <c r="G36" s="397">
        <v>1558</v>
      </c>
      <c r="H36" s="397">
        <v>1564</v>
      </c>
      <c r="I36" s="397">
        <v>1839.593462815438</v>
      </c>
      <c r="J36" s="397">
        <v>2014.4377157476533</v>
      </c>
      <c r="K36" s="397">
        <v>2121.4206179420707</v>
      </c>
      <c r="L36" s="630" t="s">
        <v>107</v>
      </c>
    </row>
    <row r="37" spans="1:12" ht="20.100000000000001" customHeight="1">
      <c r="A37" s="1157">
        <v>33</v>
      </c>
      <c r="B37" s="769" t="s">
        <v>1148</v>
      </c>
      <c r="C37" s="31">
        <v>151</v>
      </c>
      <c r="D37" s="5">
        <v>190</v>
      </c>
      <c r="E37" s="5">
        <v>222</v>
      </c>
      <c r="F37" s="5">
        <v>257</v>
      </c>
      <c r="G37" s="397">
        <v>296</v>
      </c>
      <c r="H37" s="397">
        <v>338</v>
      </c>
      <c r="I37" s="397">
        <v>563.65269203257355</v>
      </c>
      <c r="J37" s="397">
        <v>731.72361027538295</v>
      </c>
      <c r="K37" s="397">
        <v>907.89311147521926</v>
      </c>
      <c r="L37" s="630" t="s">
        <v>4</v>
      </c>
    </row>
    <row r="38" spans="1:12" ht="20.100000000000001" customHeight="1">
      <c r="A38" s="1157">
        <v>34</v>
      </c>
      <c r="B38" s="769" t="s">
        <v>1157</v>
      </c>
      <c r="C38" s="235">
        <v>1202</v>
      </c>
      <c r="D38" s="397">
        <v>1181</v>
      </c>
      <c r="E38" s="397">
        <v>1077</v>
      </c>
      <c r="F38" s="397">
        <v>1085</v>
      </c>
      <c r="G38" s="397">
        <v>1029</v>
      </c>
      <c r="H38" s="397">
        <v>983</v>
      </c>
      <c r="I38" s="397">
        <v>1047.7913843215665</v>
      </c>
      <c r="J38" s="397">
        <v>994.65798945455595</v>
      </c>
      <c r="K38" s="397">
        <v>914.44236809600886</v>
      </c>
      <c r="L38" s="630" t="s">
        <v>24</v>
      </c>
    </row>
    <row r="39" spans="1:12" ht="20.100000000000001" customHeight="1">
      <c r="A39" s="1157">
        <v>35</v>
      </c>
      <c r="B39" s="769" t="s">
        <v>1609</v>
      </c>
      <c r="C39" s="31">
        <v>206</v>
      </c>
      <c r="D39" s="5">
        <v>229</v>
      </c>
      <c r="E39" s="5">
        <v>241</v>
      </c>
      <c r="F39" s="5">
        <v>250</v>
      </c>
      <c r="G39" s="397">
        <v>258</v>
      </c>
      <c r="H39" s="397">
        <v>264</v>
      </c>
      <c r="I39" s="397">
        <v>257.69340459170775</v>
      </c>
      <c r="J39" s="397">
        <v>273.03988600910276</v>
      </c>
      <c r="K39" s="397">
        <v>278.74615846674851</v>
      </c>
      <c r="L39" s="630" t="s">
        <v>7</v>
      </c>
    </row>
    <row r="40" spans="1:12" ht="20.100000000000001" customHeight="1">
      <c r="A40" s="1157">
        <v>36</v>
      </c>
      <c r="B40" s="769" t="s">
        <v>873</v>
      </c>
      <c r="C40" s="235">
        <v>1989</v>
      </c>
      <c r="D40" s="397">
        <v>1936</v>
      </c>
      <c r="E40" s="397">
        <v>1761</v>
      </c>
      <c r="F40" s="397">
        <v>1592</v>
      </c>
      <c r="G40" s="397">
        <v>1457</v>
      </c>
      <c r="H40" s="397">
        <v>1292</v>
      </c>
      <c r="I40" s="397">
        <v>1082.344071414569</v>
      </c>
      <c r="J40" s="397">
        <v>987.33659708930452</v>
      </c>
      <c r="K40" s="397">
        <v>882.28201864108007</v>
      </c>
      <c r="L40" s="630" t="s">
        <v>10</v>
      </c>
    </row>
    <row r="41" spans="1:12" s="6" customFormat="1" ht="20.100000000000001" customHeight="1">
      <c r="A41" s="218"/>
      <c r="B41" s="833" t="s">
        <v>143</v>
      </c>
      <c r="C41" s="829">
        <v>4811713</v>
      </c>
      <c r="D41" s="264">
        <v>5285467</v>
      </c>
      <c r="E41" s="264">
        <v>5758184</v>
      </c>
      <c r="F41" s="264">
        <v>5942060</v>
      </c>
      <c r="G41" s="264">
        <v>6098376</v>
      </c>
      <c r="H41" s="264">
        <f>SUM(H5:H40)</f>
        <v>6007635</v>
      </c>
      <c r="I41" s="264">
        <v>6176882.333022926</v>
      </c>
      <c r="J41" s="264">
        <f>SUM(J5:J40)</f>
        <v>6540511.7339136759</v>
      </c>
      <c r="K41" s="264">
        <f>SUM(K5:K40)</f>
        <v>6911877.9691219162</v>
      </c>
      <c r="L41" s="1212" t="s">
        <v>0</v>
      </c>
    </row>
    <row r="42" spans="1:12" ht="55.9" customHeight="1">
      <c r="A42" s="2215" t="s">
        <v>2188</v>
      </c>
      <c r="B42" s="2184"/>
      <c r="C42" s="2184"/>
      <c r="D42" s="2184"/>
      <c r="E42" s="2184"/>
      <c r="F42" s="2184"/>
      <c r="G42" s="2184"/>
      <c r="H42" s="2184"/>
      <c r="I42" s="2184"/>
      <c r="J42" s="2184"/>
      <c r="K42" s="2184"/>
      <c r="L42" s="2216"/>
    </row>
    <row r="43" spans="1:12" ht="21" customHeight="1" thickBot="1">
      <c r="A43" s="442" t="s">
        <v>636</v>
      </c>
      <c r="B43" s="194"/>
      <c r="C43" s="194"/>
      <c r="D43" s="194"/>
      <c r="E43" s="194"/>
      <c r="F43" s="194"/>
      <c r="G43" s="194"/>
      <c r="H43" s="194"/>
      <c r="I43" s="194"/>
      <c r="J43" s="194"/>
      <c r="K43" s="194"/>
      <c r="L43" s="197"/>
    </row>
    <row r="44" spans="1:12" ht="30.75" customHeight="1" thickTop="1"/>
  </sheetData>
  <mergeCells count="4">
    <mergeCell ref="A1:L1"/>
    <mergeCell ref="A2:L2"/>
    <mergeCell ref="A3:L3"/>
    <mergeCell ref="A42:L42"/>
  </mergeCells>
  <conditionalFormatting sqref="A5:L41">
    <cfRule type="expression" dxfId="53" priority="1">
      <formula>MOD(ROW(),3)=1</formula>
    </cfRule>
  </conditionalFormatting>
  <pageMargins left="0.6692913385826772" right="0.15748031496062992" top="0.55118110236220474" bottom="0.74803149606299213" header="0.31496062992125984" footer="0.31496062992125984"/>
  <pageSetup paperSize="9" scale="69" orientation="portrait" r:id="rId1"/>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8420E-91D6-40F7-A509-7F10A63549EA}">
  <dimension ref="A1:AE56"/>
  <sheetViews>
    <sheetView view="pageBreakPreview" zoomScaleSheetLayoutView="100" workbookViewId="0">
      <selection activeCell="S17" sqref="S17"/>
    </sheetView>
  </sheetViews>
  <sheetFormatPr defaultColWidth="9.140625" defaultRowHeight="15"/>
  <cols>
    <col min="1" max="1" width="7.140625" style="237" customWidth="1"/>
    <col min="2" max="2" width="22.42578125" customWidth="1"/>
    <col min="3" max="4" width="12.5703125" hidden="1" customWidth="1"/>
    <col min="5" max="11" width="12.5703125" customWidth="1"/>
    <col min="12" max="12" width="20.85546875" style="835" customWidth="1"/>
  </cols>
  <sheetData>
    <row r="1" spans="1:31" s="845" customFormat="1" ht="24" customHeight="1" thickTop="1">
      <c r="A1" s="2274" t="s">
        <v>2777</v>
      </c>
      <c r="B1" s="2275"/>
      <c r="C1" s="2275"/>
      <c r="D1" s="2275"/>
      <c r="E1" s="2275"/>
      <c r="F1" s="2275"/>
      <c r="G1" s="2275"/>
      <c r="H1" s="2275"/>
      <c r="I1" s="2275"/>
      <c r="J1" s="2275"/>
      <c r="K1" s="2275"/>
      <c r="L1" s="2276"/>
    </row>
    <row r="2" spans="1:31" s="845" customFormat="1" ht="24" customHeight="1">
      <c r="A2" s="2277" t="s">
        <v>2778</v>
      </c>
      <c r="B2" s="2278"/>
      <c r="C2" s="2278"/>
      <c r="D2" s="2278"/>
      <c r="E2" s="2278"/>
      <c r="F2" s="2278"/>
      <c r="G2" s="2278"/>
      <c r="H2" s="2278"/>
      <c r="I2" s="2278"/>
      <c r="J2" s="2278"/>
      <c r="K2" s="2278"/>
      <c r="L2" s="2279"/>
    </row>
    <row r="3" spans="1:31" s="9" customFormat="1" ht="24" customHeight="1">
      <c r="A3" s="2280" t="s">
        <v>1648</v>
      </c>
      <c r="B3" s="2281"/>
      <c r="C3" s="2281"/>
      <c r="D3" s="2281"/>
      <c r="E3" s="2281"/>
      <c r="F3" s="2281"/>
      <c r="G3" s="2281"/>
      <c r="H3" s="2281"/>
      <c r="I3" s="2281"/>
      <c r="J3" s="2281"/>
      <c r="K3" s="2281"/>
      <c r="L3" s="2282"/>
    </row>
    <row r="4" spans="1:31" s="844" customFormat="1" ht="33" customHeight="1">
      <c r="A4" s="1705" t="s">
        <v>688</v>
      </c>
      <c r="B4" s="1706" t="s">
        <v>141</v>
      </c>
      <c r="C4" s="1707" t="s">
        <v>2</v>
      </c>
      <c r="D4" s="1706" t="s">
        <v>3</v>
      </c>
      <c r="E4" s="1706" t="s">
        <v>13</v>
      </c>
      <c r="F4" s="1706" t="s">
        <v>41</v>
      </c>
      <c r="G4" s="1706" t="s">
        <v>42</v>
      </c>
      <c r="H4" s="1706" t="s">
        <v>129</v>
      </c>
      <c r="I4" s="1706" t="s">
        <v>142</v>
      </c>
      <c r="J4" s="1706" t="s">
        <v>276</v>
      </c>
      <c r="K4" s="1706" t="s">
        <v>522</v>
      </c>
      <c r="L4" s="1708" t="s">
        <v>1612</v>
      </c>
      <c r="N4"/>
      <c r="AE4" s="754" t="s">
        <v>520</v>
      </c>
    </row>
    <row r="5" spans="1:31" ht="24" customHeight="1">
      <c r="A5" s="145">
        <v>1</v>
      </c>
      <c r="B5" s="842" t="s">
        <v>1647</v>
      </c>
      <c r="C5" s="841">
        <v>76883</v>
      </c>
      <c r="D5" s="840">
        <v>94999</v>
      </c>
      <c r="E5" s="840">
        <v>109234</v>
      </c>
      <c r="F5" s="840">
        <v>108563</v>
      </c>
      <c r="G5" s="840">
        <v>114819</v>
      </c>
      <c r="H5" s="840">
        <v>122503</v>
      </c>
      <c r="I5" s="840">
        <v>162128.66642700194</v>
      </c>
      <c r="J5" s="840">
        <v>158942.80009561818</v>
      </c>
      <c r="K5" s="840">
        <v>168215.18882554554</v>
      </c>
      <c r="L5" s="921" t="s">
        <v>14</v>
      </c>
    </row>
    <row r="6" spans="1:31" ht="24" customHeight="1">
      <c r="A6" s="145">
        <v>2</v>
      </c>
      <c r="B6" s="842" t="s">
        <v>1646</v>
      </c>
      <c r="C6" s="841">
        <v>17809</v>
      </c>
      <c r="D6" s="840">
        <v>22595</v>
      </c>
      <c r="E6" s="840">
        <v>25497</v>
      </c>
      <c r="F6" s="840">
        <v>27334</v>
      </c>
      <c r="G6" s="840">
        <v>27918</v>
      </c>
      <c r="H6" s="840">
        <v>30325</v>
      </c>
      <c r="I6" s="840">
        <v>28357.448727985193</v>
      </c>
      <c r="J6" s="840">
        <v>33036.392734173409</v>
      </c>
      <c r="K6" s="840">
        <v>34580.163373748976</v>
      </c>
      <c r="L6" s="921" t="s">
        <v>15</v>
      </c>
    </row>
    <row r="7" spans="1:31" ht="24" customHeight="1">
      <c r="A7" s="145">
        <v>3</v>
      </c>
      <c r="B7" s="842" t="s">
        <v>1645</v>
      </c>
      <c r="C7" s="841">
        <v>82459</v>
      </c>
      <c r="D7" s="840">
        <v>103867</v>
      </c>
      <c r="E7" s="840">
        <v>119443</v>
      </c>
      <c r="F7" s="840">
        <v>116917</v>
      </c>
      <c r="G7" s="840">
        <v>125804</v>
      </c>
      <c r="H7" s="840">
        <v>140748</v>
      </c>
      <c r="I7" s="840">
        <v>126207.63666706729</v>
      </c>
      <c r="J7" s="840">
        <v>141515.06640343473</v>
      </c>
      <c r="K7" s="840">
        <v>157393.82759300532</v>
      </c>
      <c r="L7" s="921" t="s">
        <v>21</v>
      </c>
    </row>
    <row r="8" spans="1:31" ht="24" customHeight="1">
      <c r="A8" s="145">
        <v>4</v>
      </c>
      <c r="B8" s="842" t="s">
        <v>1644</v>
      </c>
      <c r="C8" s="841">
        <v>19440</v>
      </c>
      <c r="D8" s="840">
        <v>24711</v>
      </c>
      <c r="E8" s="840">
        <v>28888</v>
      </c>
      <c r="F8" s="840">
        <v>29909</v>
      </c>
      <c r="G8" s="840">
        <v>32345</v>
      </c>
      <c r="H8" s="840">
        <v>35708</v>
      </c>
      <c r="I8" s="840">
        <v>31172.512257809303</v>
      </c>
      <c r="J8" s="840">
        <v>32573.250214525371</v>
      </c>
      <c r="K8" s="840">
        <v>37124.909455053166</v>
      </c>
      <c r="L8" s="921" t="s">
        <v>22</v>
      </c>
    </row>
    <row r="9" spans="1:31" ht="24" customHeight="1">
      <c r="A9" s="145">
        <v>5</v>
      </c>
      <c r="B9" s="842" t="s">
        <v>460</v>
      </c>
      <c r="C9" s="841">
        <v>130030</v>
      </c>
      <c r="D9" s="840">
        <v>186276</v>
      </c>
      <c r="E9" s="840">
        <v>177168</v>
      </c>
      <c r="F9" s="840">
        <v>179047</v>
      </c>
      <c r="G9" s="840">
        <v>163339</v>
      </c>
      <c r="H9" s="840">
        <v>219695</v>
      </c>
      <c r="I9" s="840">
        <v>280450.99943255528</v>
      </c>
      <c r="J9" s="840">
        <v>198733.51159770865</v>
      </c>
      <c r="K9" s="840">
        <v>241661.84590734018</v>
      </c>
      <c r="L9" s="921" t="s">
        <v>23</v>
      </c>
    </row>
    <row r="10" spans="1:31" ht="24" customHeight="1">
      <c r="A10" s="145">
        <v>6</v>
      </c>
      <c r="B10" s="842" t="s">
        <v>1643</v>
      </c>
      <c r="C10" s="841">
        <v>1416</v>
      </c>
      <c r="D10" s="840">
        <v>1690</v>
      </c>
      <c r="E10" s="840">
        <v>1871</v>
      </c>
      <c r="F10" s="840">
        <v>1843</v>
      </c>
      <c r="G10" s="840">
        <v>1883</v>
      </c>
      <c r="H10" s="840">
        <v>1965</v>
      </c>
      <c r="I10" s="840">
        <v>1990.891586719508</v>
      </c>
      <c r="J10" s="840">
        <v>2039.3517867351834</v>
      </c>
      <c r="K10" s="840">
        <v>2246.2357081565037</v>
      </c>
      <c r="L10" s="921" t="s">
        <v>16</v>
      </c>
    </row>
    <row r="11" spans="1:31" ht="24" customHeight="1">
      <c r="A11" s="145">
        <v>7</v>
      </c>
      <c r="B11" s="842" t="s">
        <v>1642</v>
      </c>
      <c r="C11" s="841">
        <v>162529</v>
      </c>
      <c r="D11" s="840">
        <v>208625</v>
      </c>
      <c r="E11" s="840">
        <v>245200</v>
      </c>
      <c r="F11" s="840">
        <v>253963</v>
      </c>
      <c r="G11" s="840">
        <v>274751</v>
      </c>
      <c r="H11" s="840">
        <v>305184</v>
      </c>
      <c r="I11" s="840">
        <v>258389.31428788937</v>
      </c>
      <c r="J11" s="840">
        <v>258246.96025718795</v>
      </c>
      <c r="K11" s="840">
        <v>285923.44824544829</v>
      </c>
      <c r="L11" s="921" t="s">
        <v>17</v>
      </c>
    </row>
    <row r="12" spans="1:31" ht="24" customHeight="1">
      <c r="A12" s="145">
        <v>8</v>
      </c>
      <c r="B12" s="842" t="s">
        <v>1641</v>
      </c>
      <c r="C12" s="843">
        <v>969</v>
      </c>
      <c r="D12" s="840">
        <v>1056</v>
      </c>
      <c r="E12" s="840">
        <v>1140</v>
      </c>
      <c r="F12" s="840">
        <v>1213</v>
      </c>
      <c r="G12" s="840">
        <v>1297</v>
      </c>
      <c r="H12" s="840">
        <v>1391</v>
      </c>
      <c r="I12" s="840">
        <v>1315.905781993828</v>
      </c>
      <c r="J12" s="840">
        <v>1539.0596829861577</v>
      </c>
      <c r="K12" s="840">
        <v>1650.1628928807409</v>
      </c>
      <c r="L12" s="921" t="s">
        <v>25</v>
      </c>
    </row>
    <row r="13" spans="1:31" ht="24" customHeight="1">
      <c r="A13" s="145">
        <v>9</v>
      </c>
      <c r="B13" s="842" t="s">
        <v>1640</v>
      </c>
      <c r="C13" s="841">
        <v>136449</v>
      </c>
      <c r="D13" s="840">
        <v>166497</v>
      </c>
      <c r="E13" s="840">
        <v>196126</v>
      </c>
      <c r="F13" s="840">
        <v>200458</v>
      </c>
      <c r="G13" s="840">
        <v>235481</v>
      </c>
      <c r="H13" s="840">
        <v>234937</v>
      </c>
      <c r="I13" s="840">
        <v>209641.30829211813</v>
      </c>
      <c r="J13" s="840">
        <v>209652.89598282453</v>
      </c>
      <c r="K13" s="840">
        <v>249359.32743299886</v>
      </c>
      <c r="L13" s="921" t="s">
        <v>5</v>
      </c>
    </row>
    <row r="14" spans="1:31" ht="24" customHeight="1">
      <c r="A14" s="145">
        <v>10</v>
      </c>
      <c r="B14" s="842" t="s">
        <v>1639</v>
      </c>
      <c r="C14" s="841">
        <v>18172</v>
      </c>
      <c r="D14" s="840">
        <v>21540</v>
      </c>
      <c r="E14" s="840">
        <v>24140</v>
      </c>
      <c r="F14" s="840">
        <v>24641</v>
      </c>
      <c r="G14" s="840">
        <v>24507</v>
      </c>
      <c r="H14" s="840">
        <v>25861</v>
      </c>
      <c r="I14" s="840">
        <v>23699.587305987567</v>
      </c>
      <c r="J14" s="840">
        <v>23737.785027220652</v>
      </c>
      <c r="K14" s="840">
        <v>25773.095928103547</v>
      </c>
      <c r="L14" s="921" t="s">
        <v>632</v>
      </c>
    </row>
    <row r="15" spans="1:31" ht="24" customHeight="1">
      <c r="A15" s="145">
        <v>11</v>
      </c>
      <c r="B15" s="842" t="s">
        <v>450</v>
      </c>
      <c r="C15" s="841">
        <v>48166</v>
      </c>
      <c r="D15" s="840">
        <v>69917</v>
      </c>
      <c r="E15" s="840">
        <v>81800</v>
      </c>
      <c r="F15" s="840">
        <v>90955</v>
      </c>
      <c r="G15" s="840">
        <v>94159</v>
      </c>
      <c r="H15" s="840">
        <v>125209</v>
      </c>
      <c r="I15" s="840">
        <v>78610.659036908968</v>
      </c>
      <c r="J15" s="840">
        <v>59108.538677883698</v>
      </c>
      <c r="K15" s="840">
        <v>58884.778164853487</v>
      </c>
      <c r="L15" s="921" t="s">
        <v>27</v>
      </c>
    </row>
    <row r="16" spans="1:31" ht="24" customHeight="1">
      <c r="A16" s="145">
        <v>12</v>
      </c>
      <c r="B16" s="842" t="s">
        <v>1638</v>
      </c>
      <c r="C16" s="841">
        <v>51689</v>
      </c>
      <c r="D16" s="840">
        <v>63349</v>
      </c>
      <c r="E16" s="840">
        <v>72889</v>
      </c>
      <c r="F16" s="840">
        <v>72420</v>
      </c>
      <c r="G16" s="840">
        <v>75520</v>
      </c>
      <c r="H16" s="840">
        <v>81018</v>
      </c>
      <c r="I16" s="840">
        <v>71543.258348917778</v>
      </c>
      <c r="J16" s="840">
        <v>72706.281625817806</v>
      </c>
      <c r="K16" s="840">
        <v>80850.477813099729</v>
      </c>
      <c r="L16" s="921" t="s">
        <v>28</v>
      </c>
    </row>
    <row r="17" spans="1:12" ht="24" customHeight="1">
      <c r="A17" s="145">
        <v>13</v>
      </c>
      <c r="B17" s="842" t="s">
        <v>1637</v>
      </c>
      <c r="C17" s="841">
        <v>5097</v>
      </c>
      <c r="D17" s="840">
        <v>6142</v>
      </c>
      <c r="E17" s="840">
        <v>6617</v>
      </c>
      <c r="F17" s="840">
        <v>6594</v>
      </c>
      <c r="G17" s="840">
        <v>6642</v>
      </c>
      <c r="H17" s="840">
        <v>6636</v>
      </c>
      <c r="I17" s="840">
        <v>7746.831252236273</v>
      </c>
      <c r="J17" s="840">
        <v>8127.7285038786504</v>
      </c>
      <c r="K17" s="840">
        <v>8702.1001206667479</v>
      </c>
      <c r="L17" s="921" t="s">
        <v>6</v>
      </c>
    </row>
    <row r="18" spans="1:12" ht="24" customHeight="1">
      <c r="A18" s="145">
        <v>14</v>
      </c>
      <c r="B18" s="842" t="s">
        <v>1636</v>
      </c>
      <c r="C18" s="841">
        <v>386470</v>
      </c>
      <c r="D18" s="840">
        <v>490038</v>
      </c>
      <c r="E18" s="840">
        <v>543798</v>
      </c>
      <c r="F18" s="840">
        <v>541985</v>
      </c>
      <c r="G18" s="840">
        <v>567332</v>
      </c>
      <c r="H18" s="840">
        <v>611456</v>
      </c>
      <c r="I18" s="840">
        <v>621469.06413437857</v>
      </c>
      <c r="J18" s="840">
        <v>628444.67327170493</v>
      </c>
      <c r="K18" s="840">
        <v>714672.3731115039</v>
      </c>
      <c r="L18" s="921" t="s">
        <v>18</v>
      </c>
    </row>
    <row r="19" spans="1:12" ht="24" customHeight="1">
      <c r="A19" s="145">
        <v>15</v>
      </c>
      <c r="B19" s="842" t="s">
        <v>456</v>
      </c>
      <c r="C19" s="841">
        <v>520307</v>
      </c>
      <c r="D19" s="840">
        <v>631754</v>
      </c>
      <c r="E19" s="840">
        <v>718641</v>
      </c>
      <c r="F19" s="840">
        <v>594102</v>
      </c>
      <c r="G19" s="840">
        <v>646702</v>
      </c>
      <c r="H19" s="840">
        <v>646172</v>
      </c>
      <c r="I19" s="840">
        <v>729434.36928282259</v>
      </c>
      <c r="J19" s="840">
        <v>606435.04667160299</v>
      </c>
      <c r="K19" s="840">
        <v>643967.14249004342</v>
      </c>
      <c r="L19" s="921" t="s">
        <v>29</v>
      </c>
    </row>
    <row r="20" spans="1:12" ht="24" customHeight="1">
      <c r="A20" s="145">
        <v>16</v>
      </c>
      <c r="B20" s="842" t="s">
        <v>1635</v>
      </c>
      <c r="C20" s="841">
        <v>4635</v>
      </c>
      <c r="D20" s="840">
        <v>5510</v>
      </c>
      <c r="E20" s="840">
        <v>5850</v>
      </c>
      <c r="F20" s="840">
        <v>6297</v>
      </c>
      <c r="G20" s="840">
        <v>6803</v>
      </c>
      <c r="H20" s="840">
        <v>9135</v>
      </c>
      <c r="I20" s="840">
        <v>20860.179458031918</v>
      </c>
      <c r="J20" s="840">
        <v>15948.942622299321</v>
      </c>
      <c r="K20" s="840">
        <v>11414.556686995766</v>
      </c>
      <c r="L20" s="921" t="s">
        <v>19</v>
      </c>
    </row>
    <row r="21" spans="1:12" ht="24" customHeight="1">
      <c r="A21" s="145">
        <v>17</v>
      </c>
      <c r="B21" s="842" t="s">
        <v>1634</v>
      </c>
      <c r="C21" s="841">
        <v>15053</v>
      </c>
      <c r="D21" s="840">
        <v>17929</v>
      </c>
      <c r="E21" s="840">
        <v>21273</v>
      </c>
      <c r="F21" s="840">
        <v>23552</v>
      </c>
      <c r="G21" s="840">
        <v>23390</v>
      </c>
      <c r="H21" s="840">
        <v>26200</v>
      </c>
      <c r="I21" s="840">
        <v>25227.675305026623</v>
      </c>
      <c r="J21" s="840">
        <v>25950.907228923188</v>
      </c>
      <c r="K21" s="840">
        <v>27289.070192343366</v>
      </c>
      <c r="L21" s="921" t="s">
        <v>8</v>
      </c>
    </row>
    <row r="22" spans="1:12" ht="24" customHeight="1">
      <c r="A22" s="145">
        <v>18</v>
      </c>
      <c r="B22" s="842" t="s">
        <v>1633</v>
      </c>
      <c r="C22" s="843">
        <v>908</v>
      </c>
      <c r="D22" s="840">
        <v>1125</v>
      </c>
      <c r="E22" s="840">
        <v>1386</v>
      </c>
      <c r="F22" s="840">
        <v>2335</v>
      </c>
      <c r="G22" s="840">
        <v>1623</v>
      </c>
      <c r="H22" s="840">
        <v>3387</v>
      </c>
      <c r="I22" s="840">
        <v>2020.5960823249388</v>
      </c>
      <c r="J22" s="840">
        <v>1814.9211623465887</v>
      </c>
      <c r="K22" s="840">
        <v>2149.9883928360759</v>
      </c>
      <c r="L22" s="921" t="s">
        <v>30</v>
      </c>
    </row>
    <row r="23" spans="1:12" ht="24" customHeight="1">
      <c r="A23" s="145">
        <v>19</v>
      </c>
      <c r="B23" s="842" t="s">
        <v>1632</v>
      </c>
      <c r="C23" s="841">
        <v>4014</v>
      </c>
      <c r="D23" s="840">
        <v>6258</v>
      </c>
      <c r="E23" s="840">
        <v>6278</v>
      </c>
      <c r="F23" s="840">
        <v>7994</v>
      </c>
      <c r="G23" s="840">
        <v>8918</v>
      </c>
      <c r="H23" s="840">
        <v>14684</v>
      </c>
      <c r="I23" s="840">
        <v>13878.963639071368</v>
      </c>
      <c r="J23" s="840">
        <v>14285.238498642448</v>
      </c>
      <c r="K23" s="840">
        <v>7677.160591144826</v>
      </c>
      <c r="L23" s="921" t="s">
        <v>31</v>
      </c>
    </row>
    <row r="24" spans="1:12" ht="24" customHeight="1">
      <c r="A24" s="145">
        <v>20</v>
      </c>
      <c r="B24" s="842" t="s">
        <v>451</v>
      </c>
      <c r="C24" s="841">
        <v>178413</v>
      </c>
      <c r="D24" s="840">
        <v>180125</v>
      </c>
      <c r="E24" s="840">
        <v>191248</v>
      </c>
      <c r="F24" s="840">
        <v>221123</v>
      </c>
      <c r="G24" s="840">
        <v>241674</v>
      </c>
      <c r="H24" s="840">
        <v>267836</v>
      </c>
      <c r="I24" s="840">
        <v>240355.4402851389</v>
      </c>
      <c r="J24" s="840">
        <v>225454.48739449197</v>
      </c>
      <c r="K24" s="840">
        <v>233154.20072526109</v>
      </c>
      <c r="L24" s="921" t="s">
        <v>9</v>
      </c>
    </row>
    <row r="25" spans="1:12" ht="24" customHeight="1">
      <c r="A25" s="145">
        <v>21</v>
      </c>
      <c r="B25" s="842" t="s">
        <v>1631</v>
      </c>
      <c r="C25" s="843">
        <v>267</v>
      </c>
      <c r="D25" s="8">
        <v>402</v>
      </c>
      <c r="E25" s="8">
        <v>298</v>
      </c>
      <c r="F25" s="8">
        <v>201</v>
      </c>
      <c r="G25" s="840">
        <v>234</v>
      </c>
      <c r="H25" s="840">
        <v>164</v>
      </c>
      <c r="I25" s="840">
        <v>217.43662203729917</v>
      </c>
      <c r="J25" s="840">
        <v>214.66179459245379</v>
      </c>
      <c r="K25" s="840">
        <v>166.23625302667818</v>
      </c>
      <c r="L25" s="921" t="s">
        <v>32</v>
      </c>
    </row>
    <row r="26" spans="1:12" ht="24" customHeight="1">
      <c r="A26" s="145">
        <v>22</v>
      </c>
      <c r="B26" s="842" t="s">
        <v>1630</v>
      </c>
      <c r="C26" s="841">
        <v>351519</v>
      </c>
      <c r="D26" s="840">
        <v>445704</v>
      </c>
      <c r="E26" s="840">
        <v>517293</v>
      </c>
      <c r="F26" s="840">
        <v>531049</v>
      </c>
      <c r="G26" s="840">
        <v>569822</v>
      </c>
      <c r="H26" s="840">
        <v>624669</v>
      </c>
      <c r="I26" s="840">
        <v>561638.0983988333</v>
      </c>
      <c r="J26" s="840">
        <v>570314.27141597855</v>
      </c>
      <c r="K26" s="840">
        <v>633986.20812995324</v>
      </c>
      <c r="L26" s="921" t="s">
        <v>33</v>
      </c>
    </row>
    <row r="27" spans="1:12" ht="24" customHeight="1">
      <c r="A27" s="145">
        <v>23</v>
      </c>
      <c r="B27" s="842" t="s">
        <v>1629</v>
      </c>
      <c r="C27" s="841">
        <v>1427</v>
      </c>
      <c r="D27" s="840">
        <v>1725</v>
      </c>
      <c r="E27" s="840">
        <v>1899</v>
      </c>
      <c r="F27" s="840">
        <v>1884</v>
      </c>
      <c r="G27" s="840">
        <v>1957</v>
      </c>
      <c r="H27" s="840">
        <v>2018</v>
      </c>
      <c r="I27" s="840">
        <v>2159.439935010736</v>
      </c>
      <c r="J27" s="840">
        <v>2226.8263297069147</v>
      </c>
      <c r="K27" s="840">
        <v>2500.8386090128961</v>
      </c>
      <c r="L27" s="921" t="s">
        <v>20</v>
      </c>
    </row>
    <row r="28" spans="1:12" ht="24" customHeight="1">
      <c r="A28" s="145">
        <v>24</v>
      </c>
      <c r="B28" s="842" t="s">
        <v>1628</v>
      </c>
      <c r="C28" s="841">
        <v>55154</v>
      </c>
      <c r="D28" s="840">
        <v>65696</v>
      </c>
      <c r="E28" s="840">
        <v>73351</v>
      </c>
      <c r="F28" s="840">
        <v>69914</v>
      </c>
      <c r="G28" s="840">
        <v>71342</v>
      </c>
      <c r="H28" s="840">
        <v>78057</v>
      </c>
      <c r="I28" s="840">
        <v>76166.676293593904</v>
      </c>
      <c r="J28" s="840">
        <v>80012.785621661184</v>
      </c>
      <c r="K28" s="840">
        <v>88546.884532769662</v>
      </c>
      <c r="L28" s="921" t="s">
        <v>1627</v>
      </c>
    </row>
    <row r="29" spans="1:12" ht="24" customHeight="1">
      <c r="A29" s="145">
        <v>25</v>
      </c>
      <c r="B29" s="842" t="s">
        <v>1626</v>
      </c>
      <c r="C29" s="841">
        <v>72203</v>
      </c>
      <c r="D29" s="840">
        <v>88964</v>
      </c>
      <c r="E29" s="840">
        <v>98131</v>
      </c>
      <c r="F29" s="840">
        <v>95844</v>
      </c>
      <c r="G29" s="840">
        <v>100999</v>
      </c>
      <c r="H29" s="840">
        <v>110061</v>
      </c>
      <c r="I29" s="840">
        <v>101096.83169546713</v>
      </c>
      <c r="J29" s="840">
        <v>102447.57369958455</v>
      </c>
      <c r="K29" s="840">
        <v>113694.30236230584</v>
      </c>
      <c r="L29" s="921" t="s">
        <v>39</v>
      </c>
    </row>
    <row r="30" spans="1:12" ht="24" customHeight="1">
      <c r="A30" s="145">
        <v>26</v>
      </c>
      <c r="B30" s="842" t="s">
        <v>453</v>
      </c>
      <c r="C30" s="841">
        <v>9141</v>
      </c>
      <c r="D30" s="840">
        <v>11207</v>
      </c>
      <c r="E30" s="840">
        <v>13119</v>
      </c>
      <c r="F30" s="840">
        <v>13389</v>
      </c>
      <c r="G30" s="840">
        <v>14517</v>
      </c>
      <c r="H30" s="840">
        <v>16078</v>
      </c>
      <c r="I30" s="840">
        <v>10498.463666697215</v>
      </c>
      <c r="J30" s="840">
        <v>11610.331891692853</v>
      </c>
      <c r="K30" s="840">
        <v>11411.854300853076</v>
      </c>
      <c r="L30" s="921" t="s">
        <v>34</v>
      </c>
    </row>
    <row r="31" spans="1:12" ht="24" customHeight="1">
      <c r="A31" s="145">
        <v>27</v>
      </c>
      <c r="B31" s="842" t="s">
        <v>1625</v>
      </c>
      <c r="C31" s="841">
        <v>130605</v>
      </c>
      <c r="D31" s="840">
        <v>165731</v>
      </c>
      <c r="E31" s="840">
        <v>191474</v>
      </c>
      <c r="F31" s="840">
        <v>198514</v>
      </c>
      <c r="G31" s="840">
        <v>215327</v>
      </c>
      <c r="H31" s="840">
        <v>241848</v>
      </c>
      <c r="I31" s="840">
        <v>196594.54394573579</v>
      </c>
      <c r="J31" s="840">
        <v>196742.23151632186</v>
      </c>
      <c r="K31" s="840">
        <v>218515.96747388865</v>
      </c>
      <c r="L31" s="921" t="s">
        <v>35</v>
      </c>
    </row>
    <row r="32" spans="1:12" ht="24" customHeight="1">
      <c r="A32" s="145">
        <v>28</v>
      </c>
      <c r="B32" s="842" t="s">
        <v>1624</v>
      </c>
      <c r="C32" s="841">
        <v>60726</v>
      </c>
      <c r="D32" s="840">
        <v>65838</v>
      </c>
      <c r="E32" s="840">
        <v>93903</v>
      </c>
      <c r="F32" s="840">
        <v>86325</v>
      </c>
      <c r="G32" s="840">
        <v>91654</v>
      </c>
      <c r="H32" s="840">
        <v>98925</v>
      </c>
      <c r="I32" s="840">
        <v>68933.47931151824</v>
      </c>
      <c r="J32" s="840">
        <v>100336.30468533952</v>
      </c>
      <c r="K32" s="840">
        <v>91393.208198308712</v>
      </c>
      <c r="L32" s="921" t="s">
        <v>36</v>
      </c>
    </row>
    <row r="33" spans="1:12" ht="24" customHeight="1">
      <c r="A33" s="145">
        <v>29</v>
      </c>
      <c r="B33" s="842" t="s">
        <v>452</v>
      </c>
      <c r="C33" s="841">
        <v>92832</v>
      </c>
      <c r="D33" s="840">
        <v>111478</v>
      </c>
      <c r="E33" s="840">
        <v>135657</v>
      </c>
      <c r="F33" s="840">
        <v>135205</v>
      </c>
      <c r="G33" s="840">
        <v>124800</v>
      </c>
      <c r="H33" s="840">
        <v>130336</v>
      </c>
      <c r="I33" s="840">
        <v>148851.11991045452</v>
      </c>
      <c r="J33" s="840">
        <v>157143.88177064678</v>
      </c>
      <c r="K33" s="840">
        <v>177918.7372371954</v>
      </c>
      <c r="L33" s="921" t="s">
        <v>37</v>
      </c>
    </row>
    <row r="34" spans="1:12" ht="39.75" customHeight="1">
      <c r="A34" s="145">
        <v>30</v>
      </c>
      <c r="B34" s="842" t="s">
        <v>1623</v>
      </c>
      <c r="C34" s="841">
        <v>1157</v>
      </c>
      <c r="D34" s="840">
        <v>1462</v>
      </c>
      <c r="E34" s="840">
        <v>1600</v>
      </c>
      <c r="F34" s="840">
        <v>1545</v>
      </c>
      <c r="G34" s="840">
        <v>1552</v>
      </c>
      <c r="H34" s="840">
        <v>1598</v>
      </c>
      <c r="I34" s="840">
        <v>1384.0048388817761</v>
      </c>
      <c r="J34" s="840">
        <v>1475.0622207257061</v>
      </c>
      <c r="K34" s="840">
        <v>1571.5284155907275</v>
      </c>
      <c r="L34" s="1357" t="s">
        <v>121</v>
      </c>
    </row>
    <row r="35" spans="1:12" ht="24" customHeight="1">
      <c r="A35" s="145">
        <v>31</v>
      </c>
      <c r="B35" s="842" t="s">
        <v>1622</v>
      </c>
      <c r="C35" s="843">
        <v>1</v>
      </c>
      <c r="D35" s="8">
        <v>1</v>
      </c>
      <c r="E35" s="8">
        <v>1</v>
      </c>
      <c r="F35" s="8">
        <v>1</v>
      </c>
      <c r="G35" s="840">
        <v>1</v>
      </c>
      <c r="H35" s="840">
        <v>2</v>
      </c>
      <c r="I35" s="840">
        <v>1.3331254991822279</v>
      </c>
      <c r="J35" s="840">
        <v>1.315447602008071</v>
      </c>
      <c r="K35" s="840">
        <v>1.3414966935774397</v>
      </c>
      <c r="L35" s="921" t="s">
        <v>38</v>
      </c>
    </row>
    <row r="36" spans="1:12" ht="24" customHeight="1">
      <c r="A36" s="145">
        <v>32</v>
      </c>
      <c r="B36" s="842" t="s">
        <v>1621</v>
      </c>
      <c r="C36" s="843">
        <v>834</v>
      </c>
      <c r="D36" s="840">
        <v>1026</v>
      </c>
      <c r="E36" s="840">
        <v>1147</v>
      </c>
      <c r="F36" s="840">
        <v>1131</v>
      </c>
      <c r="G36" s="840">
        <v>1165</v>
      </c>
      <c r="H36" s="840">
        <v>1222</v>
      </c>
      <c r="I36" s="840">
        <v>805.35375370368627</v>
      </c>
      <c r="J36" s="840">
        <v>799.900925038943</v>
      </c>
      <c r="K36" s="840">
        <v>887.83264925747812</v>
      </c>
      <c r="L36" s="921" t="s">
        <v>107</v>
      </c>
    </row>
    <row r="37" spans="1:12" ht="24" customHeight="1">
      <c r="A37" s="145">
        <v>33</v>
      </c>
      <c r="B37" s="842" t="s">
        <v>1620</v>
      </c>
      <c r="C37" s="843">
        <v>42</v>
      </c>
      <c r="D37" s="8">
        <v>60</v>
      </c>
      <c r="E37" s="8">
        <v>66</v>
      </c>
      <c r="F37" s="8">
        <v>66</v>
      </c>
      <c r="G37" s="840">
        <v>71</v>
      </c>
      <c r="H37" s="840">
        <v>67</v>
      </c>
      <c r="I37" s="840">
        <v>58.519679796082016</v>
      </c>
      <c r="J37" s="840">
        <v>58.026618047612629</v>
      </c>
      <c r="K37" s="840">
        <v>63.077174301718934</v>
      </c>
      <c r="L37" s="921" t="s">
        <v>4</v>
      </c>
    </row>
    <row r="38" spans="1:12" ht="24" customHeight="1">
      <c r="A38" s="145">
        <v>34</v>
      </c>
      <c r="B38" s="842" t="s">
        <v>1619</v>
      </c>
      <c r="C38" s="843">
        <v>2</v>
      </c>
      <c r="D38" s="8">
        <v>3</v>
      </c>
      <c r="E38" s="8">
        <v>3</v>
      </c>
      <c r="F38" s="8">
        <v>3</v>
      </c>
      <c r="G38" s="840">
        <v>4</v>
      </c>
      <c r="H38" s="840">
        <v>4</v>
      </c>
      <c r="I38" s="840">
        <v>3.4436013938020089</v>
      </c>
      <c r="J38" s="840">
        <v>3.2547999588948366</v>
      </c>
      <c r="K38" s="840">
        <v>3.6045091068496324</v>
      </c>
      <c r="L38" s="921" t="s">
        <v>24</v>
      </c>
    </row>
    <row r="39" spans="1:12" ht="24" customHeight="1">
      <c r="A39" s="145">
        <v>35</v>
      </c>
      <c r="B39" s="842" t="s">
        <v>1618</v>
      </c>
      <c r="C39" s="843">
        <v>97</v>
      </c>
      <c r="D39" s="8">
        <v>144</v>
      </c>
      <c r="E39" s="8">
        <v>163</v>
      </c>
      <c r="F39" s="8">
        <v>163</v>
      </c>
      <c r="G39" s="840">
        <v>169</v>
      </c>
      <c r="H39" s="840">
        <v>180</v>
      </c>
      <c r="I39" s="840">
        <v>158.85203394093858</v>
      </c>
      <c r="J39" s="840">
        <v>162.85789663581156</v>
      </c>
      <c r="K39" s="840">
        <v>183.88751247276323</v>
      </c>
      <c r="L39" s="921" t="s">
        <v>7</v>
      </c>
    </row>
    <row r="40" spans="1:12" ht="24" customHeight="1">
      <c r="A40" s="145">
        <v>36</v>
      </c>
      <c r="B40" s="842" t="s">
        <v>1617</v>
      </c>
      <c r="C40" s="841">
        <v>1014</v>
      </c>
      <c r="D40" s="840">
        <v>1227</v>
      </c>
      <c r="E40" s="840">
        <v>1366</v>
      </c>
      <c r="F40" s="840">
        <v>1345</v>
      </c>
      <c r="G40" s="840">
        <v>1388</v>
      </c>
      <c r="H40" s="840">
        <v>1438</v>
      </c>
      <c r="I40" s="840">
        <v>1739.0925365372473</v>
      </c>
      <c r="J40" s="840">
        <v>1830.8299337761705</v>
      </c>
      <c r="K40" s="840">
        <v>2095.1176613495841</v>
      </c>
      <c r="L40" s="921" t="s">
        <v>10</v>
      </c>
    </row>
    <row r="41" spans="1:12" s="61" customFormat="1" ht="24" customHeight="1">
      <c r="A41" s="839"/>
      <c r="B41" s="838" t="s">
        <v>143</v>
      </c>
      <c r="C41" s="837">
        <v>2637926</v>
      </c>
      <c r="D41" s="836">
        <f>SUM(D5:D40)</f>
        <v>3264671</v>
      </c>
      <c r="E41" s="836">
        <v>3708960</v>
      </c>
      <c r="F41" s="836">
        <v>3647822</v>
      </c>
      <c r="G41" s="836">
        <v>3869909</v>
      </c>
      <c r="H41" s="836">
        <v>4216715</v>
      </c>
      <c r="I41" s="836">
        <v>4104807.9969410859</v>
      </c>
      <c r="J41" s="836">
        <f>SUM(J5:J40)</f>
        <v>3943673.9560073158</v>
      </c>
      <c r="K41" s="836">
        <f>SUM(K5:K40)</f>
        <v>4335630.6801671153</v>
      </c>
      <c r="L41" s="918" t="s">
        <v>0</v>
      </c>
    </row>
    <row r="42" spans="1:12" s="9" customFormat="1" ht="53.25" customHeight="1">
      <c r="A42" s="2263" t="s">
        <v>1614</v>
      </c>
      <c r="B42" s="2264"/>
      <c r="C42" s="2264"/>
      <c r="D42" s="2264"/>
      <c r="E42" s="2264"/>
      <c r="F42" s="2264"/>
      <c r="G42" s="2264"/>
      <c r="H42" s="2264"/>
      <c r="I42" s="2264"/>
      <c r="J42" s="2264"/>
      <c r="K42" s="2264"/>
      <c r="L42" s="2265"/>
    </row>
    <row r="43" spans="1:12" ht="25.5" customHeight="1" thickBot="1">
      <c r="A43" s="2283" t="s">
        <v>636</v>
      </c>
      <c r="B43" s="2284"/>
      <c r="C43" s="2284"/>
      <c r="D43" s="2284"/>
      <c r="E43" s="2284"/>
      <c r="F43" s="2284"/>
      <c r="G43" s="2284"/>
      <c r="H43" s="2284"/>
      <c r="I43" s="2284"/>
      <c r="J43" s="2284"/>
      <c r="K43" s="2284"/>
      <c r="L43" s="2285"/>
    </row>
    <row r="44" spans="1:12" ht="30.75" customHeight="1" thickTop="1"/>
    <row r="56" spans="14:14">
      <c r="N56" s="1"/>
    </row>
  </sheetData>
  <mergeCells count="5">
    <mergeCell ref="A1:L1"/>
    <mergeCell ref="A2:L2"/>
    <mergeCell ref="A3:L3"/>
    <mergeCell ref="A42:L42"/>
    <mergeCell ref="A43:L43"/>
  </mergeCells>
  <conditionalFormatting sqref="A5:L41">
    <cfRule type="expression" dxfId="52" priority="1">
      <formula>MOD(ROW(),3)=1</formula>
    </cfRule>
  </conditionalFormatting>
  <pageMargins left="0.6692913385826772" right="0.15748031496062992" top="0.55118110236220474" bottom="0.74803149606299213" header="0.31496062992125984" footer="0.31496062992125984"/>
  <pageSetup paperSize="9" scale="62" orientation="portrait" r:id="rId1"/>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6DFF3-CE4F-42E1-A7EB-06AA6BE38EF9}">
  <dimension ref="A1:AA38"/>
  <sheetViews>
    <sheetView view="pageBreakPreview" zoomScale="90" zoomScaleSheetLayoutView="90" workbookViewId="0">
      <selection activeCell="S17" sqref="S17"/>
    </sheetView>
  </sheetViews>
  <sheetFormatPr defaultColWidth="9.140625" defaultRowHeight="15"/>
  <cols>
    <col min="1" max="1" width="11.85546875" customWidth="1"/>
    <col min="2" max="8" width="9.85546875" customWidth="1"/>
    <col min="9" max="9" width="11.28515625" customWidth="1"/>
    <col min="10" max="10" width="11.7109375" customWidth="1"/>
    <col min="11" max="11" width="10.5703125" customWidth="1"/>
    <col min="12" max="12" width="9.85546875" customWidth="1"/>
    <col min="13" max="13" width="14.7109375" customWidth="1"/>
    <col min="14" max="14" width="11.85546875" customWidth="1"/>
    <col min="15" max="15" width="15.42578125" customWidth="1"/>
  </cols>
  <sheetData>
    <row r="1" spans="1:27" ht="20.25" customHeight="1" thickTop="1">
      <c r="A1" s="2220" t="s">
        <v>2779</v>
      </c>
      <c r="B1" s="1869"/>
      <c r="C1" s="1869"/>
      <c r="D1" s="1869"/>
      <c r="E1" s="1869"/>
      <c r="F1" s="1869"/>
      <c r="G1" s="1869"/>
      <c r="H1" s="1869"/>
      <c r="I1" s="1869"/>
      <c r="J1" s="1869"/>
      <c r="K1" s="1869"/>
      <c r="L1" s="1869"/>
      <c r="M1" s="1869"/>
      <c r="N1" s="1869"/>
      <c r="O1" s="1870"/>
    </row>
    <row r="2" spans="1:27" ht="20.25" customHeight="1">
      <c r="A2" s="2224" t="s">
        <v>2780</v>
      </c>
      <c r="B2" s="2193"/>
      <c r="C2" s="2193"/>
      <c r="D2" s="2193"/>
      <c r="E2" s="2193"/>
      <c r="F2" s="2193"/>
      <c r="G2" s="2193"/>
      <c r="H2" s="2193"/>
      <c r="I2" s="2193"/>
      <c r="J2" s="2193"/>
      <c r="K2" s="2193"/>
      <c r="L2" s="2193"/>
      <c r="M2" s="2193"/>
      <c r="N2" s="2193"/>
      <c r="O2" s="2225"/>
    </row>
    <row r="3" spans="1:27" ht="20.25" customHeight="1">
      <c r="A3" s="444"/>
      <c r="B3" s="51"/>
      <c r="C3" s="51"/>
      <c r="D3" s="51"/>
      <c r="E3" s="51"/>
      <c r="F3" s="51"/>
      <c r="G3" s="51"/>
      <c r="H3" s="51"/>
      <c r="I3" s="51"/>
      <c r="J3" s="51"/>
      <c r="K3" s="51"/>
      <c r="L3" s="2235" t="s">
        <v>1676</v>
      </c>
      <c r="M3" s="2235"/>
      <c r="N3" s="2235"/>
      <c r="O3" s="2236"/>
    </row>
    <row r="4" spans="1:27" s="93" customFormat="1" ht="37.5" customHeight="1">
      <c r="A4" s="1928" t="s">
        <v>1675</v>
      </c>
      <c r="B4" s="1929" t="s">
        <v>1674</v>
      </c>
      <c r="C4" s="1948"/>
      <c r="D4" s="1948"/>
      <c r="E4" s="1948"/>
      <c r="F4" s="1948"/>
      <c r="G4" s="1948"/>
      <c r="H4" s="1948"/>
      <c r="I4" s="1948"/>
      <c r="J4" s="1948"/>
      <c r="K4" s="1948"/>
      <c r="L4" s="1948"/>
      <c r="M4" s="1948"/>
      <c r="N4" s="1948"/>
      <c r="O4" s="2286"/>
      <c r="AA4" s="753"/>
    </row>
    <row r="5" spans="1:27" s="93" customFormat="1" ht="125.25" customHeight="1">
      <c r="A5" s="1989"/>
      <c r="B5" s="79" t="s">
        <v>1673</v>
      </c>
      <c r="C5" s="79" t="s">
        <v>1672</v>
      </c>
      <c r="D5" s="79" t="s">
        <v>1671</v>
      </c>
      <c r="E5" s="79" t="s">
        <v>1670</v>
      </c>
      <c r="F5" s="79" t="s">
        <v>1669</v>
      </c>
      <c r="G5" s="79" t="s">
        <v>1668</v>
      </c>
      <c r="H5" s="79" t="s">
        <v>1667</v>
      </c>
      <c r="I5" s="79" t="s">
        <v>1666</v>
      </c>
      <c r="J5" s="79" t="s">
        <v>1665</v>
      </c>
      <c r="K5" s="79" t="s">
        <v>1664</v>
      </c>
      <c r="L5" s="79" t="s">
        <v>1663</v>
      </c>
      <c r="M5" s="79" t="s">
        <v>1662</v>
      </c>
      <c r="N5" s="79" t="s">
        <v>1661</v>
      </c>
      <c r="O5" s="1127" t="s">
        <v>1660</v>
      </c>
    </row>
    <row r="6" spans="1:27" ht="20.100000000000001" customHeight="1">
      <c r="A6" s="852" t="s">
        <v>495</v>
      </c>
      <c r="B6" s="849">
        <v>31056</v>
      </c>
      <c r="C6" s="849">
        <v>15554</v>
      </c>
      <c r="D6" s="849">
        <v>9744</v>
      </c>
      <c r="E6" s="849">
        <v>3250</v>
      </c>
      <c r="F6" s="849">
        <v>2254</v>
      </c>
      <c r="G6" s="849">
        <v>10010</v>
      </c>
      <c r="H6" s="849">
        <v>3198</v>
      </c>
      <c r="I6" s="849">
        <v>5576</v>
      </c>
      <c r="J6" s="849">
        <f t="shared" ref="J6:J19" si="0">SUM(B6:I6)</f>
        <v>80642</v>
      </c>
      <c r="K6" s="849">
        <v>7803</v>
      </c>
      <c r="L6" s="849">
        <v>2228</v>
      </c>
      <c r="M6" s="849">
        <v>10523</v>
      </c>
      <c r="N6" s="849">
        <f t="shared" ref="N6:N19" si="1">SUM(K6:M6)</f>
        <v>20554</v>
      </c>
      <c r="O6" s="848">
        <f t="shared" ref="O6:O35" si="2">N6+J6</f>
        <v>101196</v>
      </c>
    </row>
    <row r="7" spans="1:27" ht="20.100000000000001" customHeight="1">
      <c r="A7" s="852" t="s">
        <v>494</v>
      </c>
      <c r="B7" s="849">
        <v>34056</v>
      </c>
      <c r="C7" s="849">
        <v>18426</v>
      </c>
      <c r="D7" s="849">
        <v>11470</v>
      </c>
      <c r="E7" s="849">
        <v>4401</v>
      </c>
      <c r="F7" s="849">
        <v>2478</v>
      </c>
      <c r="G7" s="849">
        <v>12931</v>
      </c>
      <c r="H7" s="849">
        <v>3140</v>
      </c>
      <c r="I7" s="849">
        <v>4997</v>
      </c>
      <c r="J7" s="849">
        <f t="shared" si="0"/>
        <v>91899</v>
      </c>
      <c r="K7" s="849">
        <v>9274</v>
      </c>
      <c r="L7" s="849">
        <v>2429</v>
      </c>
      <c r="M7" s="849">
        <v>11962</v>
      </c>
      <c r="N7" s="849">
        <f t="shared" si="1"/>
        <v>23665</v>
      </c>
      <c r="O7" s="848">
        <f t="shared" si="2"/>
        <v>115564</v>
      </c>
    </row>
    <row r="8" spans="1:27" ht="20.100000000000001" customHeight="1">
      <c r="A8" s="852" t="s">
        <v>1545</v>
      </c>
      <c r="B8" s="849">
        <v>37381</v>
      </c>
      <c r="C8" s="849">
        <v>16871</v>
      </c>
      <c r="D8" s="849">
        <v>13391</v>
      </c>
      <c r="E8" s="849">
        <v>5856</v>
      </c>
      <c r="F8" s="849">
        <v>2474</v>
      </c>
      <c r="G8" s="849">
        <v>18293</v>
      </c>
      <c r="H8" s="849">
        <v>2556</v>
      </c>
      <c r="I8" s="849">
        <v>4962</v>
      </c>
      <c r="J8" s="849">
        <f t="shared" si="0"/>
        <v>101784</v>
      </c>
      <c r="K8" s="849">
        <v>7820</v>
      </c>
      <c r="L8" s="849">
        <v>2639</v>
      </c>
      <c r="M8" s="849">
        <v>12667</v>
      </c>
      <c r="N8" s="849">
        <f t="shared" si="1"/>
        <v>23126</v>
      </c>
      <c r="O8" s="848">
        <f t="shared" si="2"/>
        <v>124910</v>
      </c>
    </row>
    <row r="9" spans="1:27" ht="20.100000000000001" customHeight="1">
      <c r="A9" s="852" t="s">
        <v>1542</v>
      </c>
      <c r="B9" s="849">
        <v>40237</v>
      </c>
      <c r="C9" s="849">
        <v>16412</v>
      </c>
      <c r="D9" s="849">
        <v>11658</v>
      </c>
      <c r="E9" s="849">
        <v>6032</v>
      </c>
      <c r="F9" s="849">
        <v>2504</v>
      </c>
      <c r="G9" s="849">
        <v>22225</v>
      </c>
      <c r="H9" s="849">
        <v>1799</v>
      </c>
      <c r="I9" s="849">
        <v>4033</v>
      </c>
      <c r="J9" s="849">
        <f t="shared" si="0"/>
        <v>104900</v>
      </c>
      <c r="K9" s="849">
        <v>6547</v>
      </c>
      <c r="L9" s="849">
        <v>2877</v>
      </c>
      <c r="M9" s="849">
        <v>13284</v>
      </c>
      <c r="N9" s="849">
        <f t="shared" si="1"/>
        <v>22708</v>
      </c>
      <c r="O9" s="848">
        <f t="shared" si="2"/>
        <v>127608</v>
      </c>
    </row>
    <row r="10" spans="1:27" ht="20.100000000000001" customHeight="1">
      <c r="A10" s="852" t="s">
        <v>1535</v>
      </c>
      <c r="B10" s="849">
        <v>42744</v>
      </c>
      <c r="C10" s="849">
        <v>14158</v>
      </c>
      <c r="D10" s="849">
        <v>10735</v>
      </c>
      <c r="E10" s="849">
        <v>5893</v>
      </c>
      <c r="F10" s="849">
        <v>2145</v>
      </c>
      <c r="G10" s="849">
        <v>24046</v>
      </c>
      <c r="H10" s="849">
        <v>972</v>
      </c>
      <c r="I10" s="849">
        <v>2372</v>
      </c>
      <c r="J10" s="849">
        <f t="shared" si="0"/>
        <v>103065</v>
      </c>
      <c r="K10" s="849">
        <v>7471</v>
      </c>
      <c r="L10" s="849">
        <v>3609</v>
      </c>
      <c r="M10" s="849">
        <v>13803</v>
      </c>
      <c r="N10" s="849">
        <f t="shared" si="1"/>
        <v>24883</v>
      </c>
      <c r="O10" s="848">
        <f t="shared" si="2"/>
        <v>127948</v>
      </c>
    </row>
    <row r="11" spans="1:27">
      <c r="A11" s="852" t="s">
        <v>1534</v>
      </c>
      <c r="B11" s="849">
        <v>42661</v>
      </c>
      <c r="C11" s="849">
        <v>12481</v>
      </c>
      <c r="D11" s="849">
        <v>10268</v>
      </c>
      <c r="E11" s="849">
        <v>5878</v>
      </c>
      <c r="F11" s="849">
        <v>2109</v>
      </c>
      <c r="G11" s="849">
        <v>23378</v>
      </c>
      <c r="H11" s="849">
        <v>964</v>
      </c>
      <c r="I11" s="849">
        <v>2102</v>
      </c>
      <c r="J11" s="849">
        <f t="shared" si="0"/>
        <v>99841</v>
      </c>
      <c r="K11" s="849">
        <v>5591</v>
      </c>
      <c r="L11" s="849">
        <v>3639</v>
      </c>
      <c r="M11" s="849">
        <v>13449</v>
      </c>
      <c r="N11" s="849">
        <f t="shared" si="1"/>
        <v>22679</v>
      </c>
      <c r="O11" s="848">
        <f t="shared" si="2"/>
        <v>122520</v>
      </c>
    </row>
    <row r="12" spans="1:27">
      <c r="A12" s="852" t="s">
        <v>1533</v>
      </c>
      <c r="B12" s="849">
        <v>41860</v>
      </c>
      <c r="C12" s="849">
        <v>13222</v>
      </c>
      <c r="D12" s="849">
        <v>10854</v>
      </c>
      <c r="E12" s="849">
        <v>6087</v>
      </c>
      <c r="F12" s="849">
        <v>2039</v>
      </c>
      <c r="G12" s="849">
        <v>24644</v>
      </c>
      <c r="H12" s="849">
        <v>925</v>
      </c>
      <c r="I12" s="849">
        <v>2015</v>
      </c>
      <c r="J12" s="849">
        <f t="shared" si="0"/>
        <v>101646</v>
      </c>
      <c r="K12" s="849">
        <v>6434</v>
      </c>
      <c r="L12" s="849">
        <v>3596</v>
      </c>
      <c r="M12" s="849">
        <v>13539</v>
      </c>
      <c r="N12" s="849">
        <f t="shared" si="1"/>
        <v>23569</v>
      </c>
      <c r="O12" s="848">
        <f t="shared" si="2"/>
        <v>125215</v>
      </c>
    </row>
    <row r="13" spans="1:27">
      <c r="A13" s="852" t="s">
        <v>1532</v>
      </c>
      <c r="B13" s="849">
        <v>42687</v>
      </c>
      <c r="C13" s="849">
        <v>12942</v>
      </c>
      <c r="D13" s="849">
        <v>9738</v>
      </c>
      <c r="E13" s="849">
        <v>6102</v>
      </c>
      <c r="F13" s="849">
        <v>2017</v>
      </c>
      <c r="G13" s="849">
        <v>25202</v>
      </c>
      <c r="H13" s="849">
        <v>809</v>
      </c>
      <c r="I13" s="849">
        <v>1917</v>
      </c>
      <c r="J13" s="849">
        <f t="shared" si="0"/>
        <v>101414</v>
      </c>
      <c r="K13" s="849">
        <v>6326</v>
      </c>
      <c r="L13" s="849">
        <v>3454</v>
      </c>
      <c r="M13" s="849">
        <v>13631</v>
      </c>
      <c r="N13" s="849">
        <f t="shared" si="1"/>
        <v>23411</v>
      </c>
      <c r="O13" s="848">
        <f t="shared" si="2"/>
        <v>124825</v>
      </c>
    </row>
    <row r="14" spans="1:27">
      <c r="A14" s="852" t="s">
        <v>1269</v>
      </c>
      <c r="B14" s="849">
        <v>42894</v>
      </c>
      <c r="C14" s="849">
        <v>11843</v>
      </c>
      <c r="D14" s="849">
        <v>10333</v>
      </c>
      <c r="E14" s="849">
        <v>6104</v>
      </c>
      <c r="F14" s="849">
        <v>1897</v>
      </c>
      <c r="G14" s="849">
        <v>25887</v>
      </c>
      <c r="H14" s="849">
        <v>897</v>
      </c>
      <c r="I14" s="849">
        <v>1811</v>
      </c>
      <c r="J14" s="849">
        <f t="shared" si="0"/>
        <v>101666</v>
      </c>
      <c r="K14" s="849">
        <v>7500</v>
      </c>
      <c r="L14" s="849">
        <v>3283</v>
      </c>
      <c r="M14" s="849">
        <v>13500</v>
      </c>
      <c r="N14" s="849">
        <f t="shared" si="1"/>
        <v>24283</v>
      </c>
      <c r="O14" s="848">
        <f t="shared" si="2"/>
        <v>125949</v>
      </c>
    </row>
    <row r="15" spans="1:27">
      <c r="A15" s="852" t="s">
        <v>1531</v>
      </c>
      <c r="B15" s="849">
        <v>43016</v>
      </c>
      <c r="C15" s="849">
        <v>11477</v>
      </c>
      <c r="D15" s="849">
        <v>9558</v>
      </c>
      <c r="E15" s="849">
        <v>6117</v>
      </c>
      <c r="F15" s="849">
        <v>1929</v>
      </c>
      <c r="G15" s="849">
        <v>25105</v>
      </c>
      <c r="H15" s="849">
        <v>838</v>
      </c>
      <c r="I15" s="849">
        <v>1786</v>
      </c>
      <c r="J15" s="849">
        <f t="shared" si="0"/>
        <v>99826</v>
      </c>
      <c r="K15" s="849">
        <v>7121</v>
      </c>
      <c r="L15" s="849">
        <v>3470</v>
      </c>
      <c r="M15" s="849">
        <v>13046</v>
      </c>
      <c r="N15" s="849">
        <f t="shared" si="1"/>
        <v>23637</v>
      </c>
      <c r="O15" s="848">
        <f t="shared" si="2"/>
        <v>123463</v>
      </c>
    </row>
    <row r="16" spans="1:27">
      <c r="A16" s="852" t="s">
        <v>1659</v>
      </c>
      <c r="B16" s="849">
        <v>43529</v>
      </c>
      <c r="C16" s="849">
        <v>11435</v>
      </c>
      <c r="D16" s="849">
        <v>10297</v>
      </c>
      <c r="E16" s="849">
        <v>6270</v>
      </c>
      <c r="F16" s="849">
        <v>1864</v>
      </c>
      <c r="G16" s="849">
        <v>25991</v>
      </c>
      <c r="H16" s="849">
        <v>765</v>
      </c>
      <c r="I16" s="849">
        <v>1634</v>
      </c>
      <c r="J16" s="849">
        <f t="shared" si="0"/>
        <v>101785</v>
      </c>
      <c r="K16" s="849">
        <v>7040</v>
      </c>
      <c r="L16" s="849">
        <v>3517</v>
      </c>
      <c r="M16" s="849">
        <v>12760</v>
      </c>
      <c r="N16" s="849">
        <f t="shared" si="1"/>
        <v>23317</v>
      </c>
      <c r="O16" s="848">
        <f t="shared" si="2"/>
        <v>125102</v>
      </c>
    </row>
    <row r="17" spans="1:15">
      <c r="A17" s="852" t="s">
        <v>1658</v>
      </c>
      <c r="B17" s="849">
        <v>43581</v>
      </c>
      <c r="C17" s="849">
        <v>10798</v>
      </c>
      <c r="D17" s="849">
        <v>9940</v>
      </c>
      <c r="E17" s="849">
        <v>6376</v>
      </c>
      <c r="F17" s="849">
        <v>1757</v>
      </c>
      <c r="G17" s="849">
        <v>26741</v>
      </c>
      <c r="H17" s="849">
        <v>871</v>
      </c>
      <c r="I17" s="849">
        <v>1653</v>
      </c>
      <c r="J17" s="849">
        <f t="shared" si="0"/>
        <v>101717</v>
      </c>
      <c r="K17" s="849">
        <v>7456</v>
      </c>
      <c r="L17" s="849">
        <v>3341</v>
      </c>
      <c r="M17" s="849">
        <v>13201</v>
      </c>
      <c r="N17" s="849">
        <f t="shared" si="1"/>
        <v>23998</v>
      </c>
      <c r="O17" s="848">
        <f t="shared" si="2"/>
        <v>125715</v>
      </c>
    </row>
    <row r="18" spans="1:15">
      <c r="A18" s="852" t="s">
        <v>1657</v>
      </c>
      <c r="B18" s="849">
        <v>44898</v>
      </c>
      <c r="C18" s="849">
        <v>9905</v>
      </c>
      <c r="D18" s="849">
        <v>9527</v>
      </c>
      <c r="E18" s="849">
        <v>6338</v>
      </c>
      <c r="F18" s="849">
        <v>1862</v>
      </c>
      <c r="G18" s="849">
        <v>27466</v>
      </c>
      <c r="H18" s="849">
        <v>806</v>
      </c>
      <c r="I18" s="849">
        <v>1563</v>
      </c>
      <c r="J18" s="849">
        <f t="shared" si="0"/>
        <v>102365</v>
      </c>
      <c r="K18" s="849">
        <v>8535</v>
      </c>
      <c r="L18" s="849">
        <v>3404</v>
      </c>
      <c r="M18" s="849">
        <v>12576</v>
      </c>
      <c r="N18" s="849">
        <f t="shared" si="1"/>
        <v>24515</v>
      </c>
      <c r="O18" s="848">
        <f t="shared" si="2"/>
        <v>126880</v>
      </c>
    </row>
    <row r="19" spans="1:15">
      <c r="A19" s="852" t="s">
        <v>1656</v>
      </c>
      <c r="B19" s="849">
        <v>45456</v>
      </c>
      <c r="C19" s="849">
        <v>9882</v>
      </c>
      <c r="D19" s="849">
        <v>9103</v>
      </c>
      <c r="E19" s="849">
        <v>6574</v>
      </c>
      <c r="F19" s="849">
        <v>1736</v>
      </c>
      <c r="G19" s="849">
        <v>27671</v>
      </c>
      <c r="H19" s="849">
        <v>746</v>
      </c>
      <c r="I19" s="849">
        <v>1432</v>
      </c>
      <c r="J19" s="849">
        <f t="shared" si="0"/>
        <v>102600</v>
      </c>
      <c r="K19" s="849">
        <v>6295</v>
      </c>
      <c r="L19" s="849">
        <v>3454</v>
      </c>
      <c r="M19" s="849">
        <v>12369</v>
      </c>
      <c r="N19" s="849">
        <f t="shared" si="1"/>
        <v>22118</v>
      </c>
      <c r="O19" s="848">
        <f t="shared" si="2"/>
        <v>124718</v>
      </c>
    </row>
    <row r="20" spans="1:15" ht="20.100000000000001" customHeight="1">
      <c r="A20" s="852" t="s">
        <v>490</v>
      </c>
      <c r="B20" s="849">
        <v>44711.999999999993</v>
      </c>
      <c r="C20" s="849">
        <v>9856.4000000000015</v>
      </c>
      <c r="D20" s="849">
        <v>9828.9</v>
      </c>
      <c r="E20" s="849">
        <v>6611.3000000000011</v>
      </c>
      <c r="F20" s="849">
        <v>1759.1</v>
      </c>
      <c r="G20" s="849">
        <v>25730.5</v>
      </c>
      <c r="H20" s="849">
        <v>778</v>
      </c>
      <c r="I20" s="849">
        <f t="shared" ref="I20:I35" si="3">J20-SUM(B20:H20)</f>
        <v>1423.6999999999825</v>
      </c>
      <c r="J20" s="849">
        <v>100699.89999999998</v>
      </c>
      <c r="K20" s="849">
        <v>5185.3</v>
      </c>
      <c r="L20" s="849">
        <v>3632.1</v>
      </c>
      <c r="M20" s="849">
        <v>9837.3000000000011</v>
      </c>
      <c r="N20" s="849">
        <v>20332.5</v>
      </c>
      <c r="O20" s="848">
        <f t="shared" si="2"/>
        <v>121032.39999999998</v>
      </c>
    </row>
    <row r="21" spans="1:15" ht="20.100000000000001" customHeight="1">
      <c r="A21" s="852" t="s">
        <v>1655</v>
      </c>
      <c r="B21" s="849">
        <v>41906.699999999997</v>
      </c>
      <c r="C21" s="849">
        <v>9092.2999999999993</v>
      </c>
      <c r="D21" s="849">
        <v>9232.9</v>
      </c>
      <c r="E21" s="849">
        <v>7430.4</v>
      </c>
      <c r="F21" s="849">
        <v>1552.7</v>
      </c>
      <c r="G21" s="849">
        <v>26382.9</v>
      </c>
      <c r="H21" s="849">
        <v>616.5</v>
      </c>
      <c r="I21" s="849">
        <f t="shared" si="3"/>
        <v>1100.6000000000058</v>
      </c>
      <c r="J21" s="849">
        <v>97315</v>
      </c>
      <c r="K21" s="849">
        <v>6714.6</v>
      </c>
      <c r="L21" s="849">
        <v>3518.5</v>
      </c>
      <c r="M21" s="849">
        <v>10546</v>
      </c>
      <c r="N21" s="849">
        <v>22745.600000000002</v>
      </c>
      <c r="O21" s="848">
        <f t="shared" si="2"/>
        <v>120060.6</v>
      </c>
    </row>
    <row r="22" spans="1:15" ht="20.100000000000001" customHeight="1">
      <c r="A22" s="852" t="s">
        <v>482</v>
      </c>
      <c r="B22" s="849">
        <v>45537.400000000009</v>
      </c>
      <c r="C22" s="849">
        <v>7530.9</v>
      </c>
      <c r="D22" s="849">
        <v>8752.5</v>
      </c>
      <c r="E22" s="849">
        <v>8173.8</v>
      </c>
      <c r="F22" s="849">
        <v>1381.4</v>
      </c>
      <c r="G22" s="849">
        <v>27752.400000000001</v>
      </c>
      <c r="H22" s="849">
        <v>706</v>
      </c>
      <c r="I22" s="849">
        <f t="shared" si="3"/>
        <v>904.90000000000873</v>
      </c>
      <c r="J22" s="849">
        <v>100739.3</v>
      </c>
      <c r="K22" s="849">
        <v>7892.5</v>
      </c>
      <c r="L22" s="849">
        <v>3377.9</v>
      </c>
      <c r="M22" s="849">
        <v>9064.562068965517</v>
      </c>
      <c r="N22" s="849">
        <v>22072.899999999998</v>
      </c>
      <c r="O22" s="848">
        <f t="shared" si="2"/>
        <v>122812.2</v>
      </c>
    </row>
    <row r="23" spans="1:15" ht="20.100000000000001" customHeight="1">
      <c r="A23" s="852" t="s">
        <v>1</v>
      </c>
      <c r="B23" s="849">
        <v>42862.413</v>
      </c>
      <c r="C23" s="849">
        <v>7381.7280000000001</v>
      </c>
      <c r="D23" s="849">
        <v>9612.3379999999997</v>
      </c>
      <c r="E23" s="849">
        <v>8553.157540000002</v>
      </c>
      <c r="F23" s="849">
        <v>1286.1919999999998</v>
      </c>
      <c r="G23" s="849">
        <v>29068.587000000003</v>
      </c>
      <c r="H23" s="849">
        <v>705.35399999999993</v>
      </c>
      <c r="I23" s="849">
        <f t="shared" si="3"/>
        <v>799.93399999999383</v>
      </c>
      <c r="J23" s="849">
        <v>100269.70354</v>
      </c>
      <c r="K23" s="849">
        <v>9185.5909999999985</v>
      </c>
      <c r="L23" s="849">
        <v>4366.6939999999995</v>
      </c>
      <c r="M23" s="849">
        <v>10951.575482758621</v>
      </c>
      <c r="N23" s="849">
        <v>26378.936172413793</v>
      </c>
      <c r="O23" s="848">
        <f t="shared" si="2"/>
        <v>126648.6397124138</v>
      </c>
    </row>
    <row r="24" spans="1:15" ht="20.100000000000001" customHeight="1">
      <c r="A24" s="852" t="s">
        <v>2</v>
      </c>
      <c r="B24" s="849">
        <v>44006.25299999999</v>
      </c>
      <c r="C24" s="849">
        <v>6245.081000000001</v>
      </c>
      <c r="D24" s="849">
        <v>8776.7000000000007</v>
      </c>
      <c r="E24" s="849">
        <v>8781.9279999999981</v>
      </c>
      <c r="F24" s="849">
        <v>1175.7830000000001</v>
      </c>
      <c r="G24" s="849">
        <v>29864.77</v>
      </c>
      <c r="H24" s="849">
        <v>643.39600000000007</v>
      </c>
      <c r="I24" s="849">
        <f t="shared" si="3"/>
        <v>798.7780000000057</v>
      </c>
      <c r="J24" s="849">
        <v>100292.68899999998</v>
      </c>
      <c r="K24" s="849">
        <v>8299.0609999999997</v>
      </c>
      <c r="L24" s="849">
        <v>4007.3689999999997</v>
      </c>
      <c r="M24" s="849">
        <v>10380.088639097747</v>
      </c>
      <c r="N24" s="849">
        <v>24441.275000000005</v>
      </c>
      <c r="O24" s="848">
        <f t="shared" si="2"/>
        <v>124733.96399999999</v>
      </c>
    </row>
    <row r="25" spans="1:15" ht="20.100000000000001" customHeight="1">
      <c r="A25" s="852" t="s">
        <v>3</v>
      </c>
      <c r="B25" s="849">
        <v>42753.871999999996</v>
      </c>
      <c r="C25" s="849">
        <v>6214.3599999999988</v>
      </c>
      <c r="D25" s="849">
        <v>7297.4169999999995</v>
      </c>
      <c r="E25" s="849">
        <v>8672.637999999999</v>
      </c>
      <c r="F25" s="849">
        <v>1128.019</v>
      </c>
      <c r="G25" s="849">
        <v>30003.344000000005</v>
      </c>
      <c r="H25" s="849">
        <v>695.12</v>
      </c>
      <c r="I25" s="849">
        <f t="shared" si="3"/>
        <v>754.09100000000035</v>
      </c>
      <c r="J25" s="849">
        <v>97518.86099999999</v>
      </c>
      <c r="K25" s="849">
        <v>8521.7929999999997</v>
      </c>
      <c r="L25" s="849">
        <v>3892.864</v>
      </c>
      <c r="M25" s="849">
        <v>8917.1764536641767</v>
      </c>
      <c r="N25" s="849">
        <v>23232.2796835443</v>
      </c>
      <c r="O25" s="848">
        <f t="shared" si="2"/>
        <v>120751.14068354429</v>
      </c>
    </row>
    <row r="26" spans="1:15" ht="20.100000000000001" customHeight="1">
      <c r="A26" s="852" t="s">
        <v>13</v>
      </c>
      <c r="B26" s="849">
        <v>44135.95199999999</v>
      </c>
      <c r="C26" s="849">
        <v>5793.4400000000005</v>
      </c>
      <c r="D26" s="849">
        <v>7810.7150000000011</v>
      </c>
      <c r="E26" s="849">
        <v>9066.26</v>
      </c>
      <c r="F26" s="849">
        <v>1193.7149999999999</v>
      </c>
      <c r="G26" s="849">
        <v>30473.181</v>
      </c>
      <c r="H26" s="849">
        <v>673.5</v>
      </c>
      <c r="I26" s="849">
        <f t="shared" si="3"/>
        <v>682.2960000000021</v>
      </c>
      <c r="J26" s="849">
        <v>99829.058999999994</v>
      </c>
      <c r="K26" s="849">
        <v>9927.3829999999998</v>
      </c>
      <c r="L26" s="849">
        <v>3904.8579999999993</v>
      </c>
      <c r="M26" s="849">
        <v>9524.6939999999995</v>
      </c>
      <c r="N26" s="849">
        <v>25211.344999999998</v>
      </c>
      <c r="O26" s="848">
        <f t="shared" si="2"/>
        <v>125040.40399999999</v>
      </c>
    </row>
    <row r="27" spans="1:15" ht="20.100000000000001" customHeight="1">
      <c r="A27" s="852" t="s">
        <v>41</v>
      </c>
      <c r="B27" s="849">
        <v>44110.482599999996</v>
      </c>
      <c r="C27" s="849">
        <v>6161.4170000000004</v>
      </c>
      <c r="D27" s="849">
        <v>7317.9369999999999</v>
      </c>
      <c r="E27" s="849">
        <v>9185.4049999999988</v>
      </c>
      <c r="F27" s="849">
        <v>1208.0979999999997</v>
      </c>
      <c r="G27" s="849">
        <v>31465.595999999994</v>
      </c>
      <c r="H27" s="849">
        <v>707.46</v>
      </c>
      <c r="I27" s="849">
        <f t="shared" si="3"/>
        <v>589.64000000001397</v>
      </c>
      <c r="J27" s="849">
        <v>100746.0356</v>
      </c>
      <c r="K27" s="849">
        <v>8250.99</v>
      </c>
      <c r="L27" s="849">
        <v>3853.3849</v>
      </c>
      <c r="M27" s="849">
        <v>9362.9678303179535</v>
      </c>
      <c r="N27" s="849">
        <v>23553.971000000001</v>
      </c>
      <c r="O27" s="848">
        <f t="shared" si="2"/>
        <v>124300.00660000001</v>
      </c>
    </row>
    <row r="28" spans="1:15" ht="20.100000000000001" customHeight="1">
      <c r="A28" s="852" t="s">
        <v>42</v>
      </c>
      <c r="B28" s="849">
        <v>43499.180300000007</v>
      </c>
      <c r="C28" s="849">
        <v>6077.0280000000002</v>
      </c>
      <c r="D28" s="849">
        <v>7128.6109999999999</v>
      </c>
      <c r="E28" s="849">
        <v>8806.11</v>
      </c>
      <c r="F28" s="849">
        <v>1138.2792999999999</v>
      </c>
      <c r="G28" s="849">
        <v>30417.799099999997</v>
      </c>
      <c r="H28" s="849">
        <v>589.36300000000006</v>
      </c>
      <c r="I28" s="849">
        <f t="shared" si="3"/>
        <v>649.94700000001467</v>
      </c>
      <c r="J28" s="849">
        <v>98306.3177</v>
      </c>
      <c r="K28" s="849">
        <v>8398.9522000000015</v>
      </c>
      <c r="L28" s="849">
        <v>3963.3477499999999</v>
      </c>
      <c r="M28" s="849">
        <v>10598.376829999999</v>
      </c>
      <c r="N28" s="849">
        <v>24911.948779999999</v>
      </c>
      <c r="O28" s="848">
        <f t="shared" si="2"/>
        <v>123218.26647999999</v>
      </c>
    </row>
    <row r="29" spans="1:15" ht="20.100000000000001" customHeight="1">
      <c r="A29" s="852" t="s">
        <v>129</v>
      </c>
      <c r="B29" s="849">
        <v>43993.354299999999</v>
      </c>
      <c r="C29" s="849">
        <v>5624.4210000000003</v>
      </c>
      <c r="D29" s="849">
        <v>7458.5010000000011</v>
      </c>
      <c r="E29" s="849">
        <v>9633.200499999999</v>
      </c>
      <c r="F29" s="849">
        <v>1016.1130000000003</v>
      </c>
      <c r="G29" s="849">
        <v>30785.181999999997</v>
      </c>
      <c r="H29" s="849">
        <v>656.25099999999998</v>
      </c>
      <c r="I29" s="849">
        <f t="shared" si="3"/>
        <v>619.11000000000058</v>
      </c>
      <c r="J29" s="849">
        <v>99786.132800000007</v>
      </c>
      <c r="K29" s="849">
        <v>9626.159999999998</v>
      </c>
      <c r="L29" s="849">
        <v>5337.8860000000004</v>
      </c>
      <c r="M29" s="849">
        <v>12443.671218637992</v>
      </c>
      <c r="N29" s="849">
        <v>29446.652999999998</v>
      </c>
      <c r="O29" s="848">
        <f t="shared" si="2"/>
        <v>129232.78580000001</v>
      </c>
    </row>
    <row r="30" spans="1:15" ht="20.100000000000001" customHeight="1">
      <c r="A30" s="852" t="s">
        <v>142</v>
      </c>
      <c r="B30" s="849">
        <v>43774.065139999999</v>
      </c>
      <c r="C30" s="849">
        <v>5024.4500000000007</v>
      </c>
      <c r="D30" s="849">
        <v>7480.5949999999993</v>
      </c>
      <c r="E30" s="849">
        <v>9380.0704999999998</v>
      </c>
      <c r="F30" s="849">
        <v>1194.2925</v>
      </c>
      <c r="G30" s="849">
        <v>29650.586599999999</v>
      </c>
      <c r="H30" s="849">
        <v>660.79699999999991</v>
      </c>
      <c r="I30" s="849">
        <f t="shared" si="3"/>
        <v>546.2725000000064</v>
      </c>
      <c r="J30" s="849">
        <v>97711.129240000009</v>
      </c>
      <c r="K30" s="849">
        <v>10560.429</v>
      </c>
      <c r="L30" s="849">
        <v>4438.3060000000005</v>
      </c>
      <c r="M30" s="849">
        <v>12956.0123</v>
      </c>
      <c r="N30" s="849">
        <v>29813.157099999997</v>
      </c>
      <c r="O30" s="848">
        <f t="shared" si="2"/>
        <v>127524.28634000001</v>
      </c>
    </row>
    <row r="31" spans="1:15">
      <c r="A31" s="852" t="s">
        <v>276</v>
      </c>
      <c r="B31" s="849">
        <v>44156.445609999995</v>
      </c>
      <c r="C31" s="849">
        <v>4093.2850000000008</v>
      </c>
      <c r="D31" s="849">
        <v>7105.0330000000004</v>
      </c>
      <c r="E31" s="849">
        <v>9027.1297299999987</v>
      </c>
      <c r="F31" s="849">
        <v>890.93970000000002</v>
      </c>
      <c r="G31" s="849">
        <v>29318.786</v>
      </c>
      <c r="H31" s="849">
        <v>575.596</v>
      </c>
      <c r="I31" s="849">
        <f t="shared" si="3"/>
        <v>453.75049999998009</v>
      </c>
      <c r="J31" s="849">
        <v>95620.96553999999</v>
      </c>
      <c r="K31" s="849">
        <v>9547.0308999999997</v>
      </c>
      <c r="L31" s="849">
        <v>4549.5418</v>
      </c>
      <c r="M31" s="849">
        <v>13442.3575</v>
      </c>
      <c r="N31" s="849">
        <v>29155.966499999999</v>
      </c>
      <c r="O31" s="848">
        <f t="shared" si="2"/>
        <v>124776.93203999999</v>
      </c>
    </row>
    <row r="32" spans="1:15" ht="16.5" customHeight="1">
      <c r="A32" s="852" t="s">
        <v>522</v>
      </c>
      <c r="B32" s="849">
        <v>43662.297100000003</v>
      </c>
      <c r="C32" s="849">
        <v>4823.7569999999996</v>
      </c>
      <c r="D32" s="849">
        <v>7542.683</v>
      </c>
      <c r="E32" s="849">
        <v>9569.0788000000011</v>
      </c>
      <c r="F32" s="849">
        <v>1004.4559999999998</v>
      </c>
      <c r="G32" s="851">
        <v>31357.017100000001</v>
      </c>
      <c r="H32" s="851">
        <v>589.57000000000005</v>
      </c>
      <c r="I32" s="851">
        <f t="shared" si="3"/>
        <v>458.35399999999208</v>
      </c>
      <c r="J32" s="851">
        <v>99007.213000000003</v>
      </c>
      <c r="K32" s="851">
        <v>9698.7489999999998</v>
      </c>
      <c r="L32" s="849">
        <v>4532.47</v>
      </c>
      <c r="M32" s="849">
        <v>12196.500599999998</v>
      </c>
      <c r="N32" s="849">
        <v>27987.314599999998</v>
      </c>
      <c r="O32" s="848">
        <f t="shared" si="2"/>
        <v>126994.5276</v>
      </c>
    </row>
    <row r="33" spans="1:15" ht="16.5" customHeight="1">
      <c r="A33" s="850" t="s">
        <v>652</v>
      </c>
      <c r="B33" s="849">
        <v>45768.687000000013</v>
      </c>
      <c r="C33" s="849">
        <v>4377.8739999999998</v>
      </c>
      <c r="D33" s="849">
        <v>7652.098</v>
      </c>
      <c r="E33" s="849">
        <v>9891.9610000000011</v>
      </c>
      <c r="F33" s="849">
        <v>1159.3950000000002</v>
      </c>
      <c r="G33" s="849">
        <v>31125.157999999999</v>
      </c>
      <c r="H33" s="849">
        <v>592.46799999999996</v>
      </c>
      <c r="I33" s="849">
        <f t="shared" si="3"/>
        <v>444.04899999999907</v>
      </c>
      <c r="J33" s="849">
        <v>101011.69</v>
      </c>
      <c r="K33" s="849">
        <v>9995.9209999999985</v>
      </c>
      <c r="L33" s="849">
        <v>4724.4450999999999</v>
      </c>
      <c r="M33" s="849">
        <v>14532.518552</v>
      </c>
      <c r="N33" s="849">
        <v>28783.316499999997</v>
      </c>
      <c r="O33" s="848">
        <f t="shared" si="2"/>
        <v>129795.0065</v>
      </c>
    </row>
    <row r="34" spans="1:15" ht="16.5" customHeight="1">
      <c r="A34" s="850" t="s">
        <v>1654</v>
      </c>
      <c r="B34" s="849">
        <v>46379.356322965999</v>
      </c>
      <c r="C34" s="849">
        <v>3807.5803343923171</v>
      </c>
      <c r="D34" s="849">
        <v>6702.76661580778</v>
      </c>
      <c r="E34" s="849">
        <v>10037.12362126643</v>
      </c>
      <c r="F34" s="849">
        <v>1210.9588585443109</v>
      </c>
      <c r="G34" s="849">
        <v>30469.404997075268</v>
      </c>
      <c r="H34" s="849">
        <v>469.9615670625048</v>
      </c>
      <c r="I34" s="849">
        <f t="shared" si="3"/>
        <v>423.42895853382652</v>
      </c>
      <c r="J34" s="849">
        <v>99500.581275648437</v>
      </c>
      <c r="K34" s="849">
        <v>10911.626466013748</v>
      </c>
      <c r="L34" s="849">
        <v>5048.4452265714963</v>
      </c>
      <c r="M34" s="849">
        <v>15069.804134443828</v>
      </c>
      <c r="N34" s="849">
        <v>31029.875827029071</v>
      </c>
      <c r="O34" s="848">
        <f t="shared" si="2"/>
        <v>130530.45710267751</v>
      </c>
    </row>
    <row r="35" spans="1:15" ht="16.5" customHeight="1">
      <c r="A35" s="850" t="s">
        <v>1653</v>
      </c>
      <c r="B35" s="849">
        <v>40742.983439018521</v>
      </c>
      <c r="C35" s="849">
        <v>1471.8108972872192</v>
      </c>
      <c r="D35" s="849">
        <v>6885.1727847518523</v>
      </c>
      <c r="E35" s="849">
        <v>7919.6547980242594</v>
      </c>
      <c r="F35" s="849">
        <v>996.24521861168273</v>
      </c>
      <c r="G35" s="849"/>
      <c r="H35" s="849"/>
      <c r="I35" s="849">
        <f t="shared" si="3"/>
        <v>491.23615546339715</v>
      </c>
      <c r="J35" s="849">
        <v>58507.103293156935</v>
      </c>
      <c r="K35" s="849"/>
      <c r="L35" s="849">
        <v>4584.9409999999998</v>
      </c>
      <c r="M35" s="849">
        <v>8740.7081030954578</v>
      </c>
      <c r="N35" s="849">
        <v>13325.649103095458</v>
      </c>
      <c r="O35" s="848">
        <f t="shared" si="2"/>
        <v>71832.752396252399</v>
      </c>
    </row>
    <row r="36" spans="1:15">
      <c r="A36" s="138" t="s">
        <v>1652</v>
      </c>
      <c r="J36" t="s">
        <v>1651</v>
      </c>
      <c r="M36" t="s">
        <v>1650</v>
      </c>
      <c r="O36" s="202"/>
    </row>
    <row r="37" spans="1:15" ht="15.75" thickBot="1">
      <c r="A37" s="847" t="s">
        <v>1649</v>
      </c>
      <c r="B37" s="181"/>
      <c r="C37" s="181"/>
      <c r="D37" s="181"/>
      <c r="E37" s="181"/>
      <c r="F37" s="181"/>
      <c r="G37" s="181"/>
      <c r="H37" s="181"/>
      <c r="I37" s="181"/>
      <c r="J37" s="342"/>
      <c r="K37" s="181"/>
      <c r="L37" s="181"/>
      <c r="M37" s="181"/>
      <c r="N37" s="181"/>
      <c r="O37" s="195"/>
    </row>
    <row r="38" spans="1:15" ht="15.75" thickTop="1"/>
  </sheetData>
  <mergeCells count="5">
    <mergeCell ref="A1:O1"/>
    <mergeCell ref="A2:O2"/>
    <mergeCell ref="L3:O3"/>
    <mergeCell ref="A4:A5"/>
    <mergeCell ref="B4:O4"/>
  </mergeCells>
  <conditionalFormatting sqref="A6:O35">
    <cfRule type="expression" dxfId="51" priority="1">
      <formula>MOD(ROW(),3)=1</formula>
    </cfRule>
  </conditionalFormatting>
  <printOptions horizontalCentered="1"/>
  <pageMargins left="0.66929133858267698" right="0.15748031496063" top="0.55118110236220497" bottom="0.74803149606299202" header="0.31496062992126" footer="0.31496062992126"/>
  <pageSetup paperSize="9" scale="65" fitToHeight="0" orientation="landscape" r:id="rId1"/>
  <colBreaks count="1" manualBreakCount="1">
    <brk id="15" max="1048575" man="1"/>
  </colBreaks>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F92AE-5DF5-476F-B320-B1AC4E4920CC}">
  <dimension ref="A1:W37"/>
  <sheetViews>
    <sheetView view="pageBreakPreview" zoomScaleSheetLayoutView="100" workbookViewId="0">
      <selection activeCell="S17" sqref="S17"/>
    </sheetView>
  </sheetViews>
  <sheetFormatPr defaultColWidth="9.140625" defaultRowHeight="15.75"/>
  <cols>
    <col min="1" max="1" width="6" style="846" customWidth="1"/>
    <col min="2" max="2" width="17.140625" style="846" customWidth="1"/>
    <col min="3" max="5" width="10.85546875" style="846" hidden="1" customWidth="1"/>
    <col min="6" max="6" width="10" style="846" hidden="1" customWidth="1"/>
    <col min="7" max="7" width="9.7109375" style="846" hidden="1" customWidth="1"/>
    <col min="8" max="8" width="10.5703125" style="846" hidden="1" customWidth="1"/>
    <col min="9" max="9" width="10.140625" style="846" hidden="1" customWidth="1"/>
    <col min="10" max="10" width="10.7109375" style="846" hidden="1" customWidth="1"/>
    <col min="11" max="11" width="10.42578125" style="846" hidden="1" customWidth="1"/>
    <col min="12" max="13" width="10.7109375" style="846" hidden="1" customWidth="1"/>
    <col min="14" max="22" width="10.7109375" style="846" customWidth="1"/>
    <col min="23" max="23" width="17.140625" style="853" customWidth="1"/>
    <col min="24" max="16384" width="9.140625" style="846"/>
  </cols>
  <sheetData>
    <row r="1" spans="1:23" s="41" customFormat="1" ht="35.1" customHeight="1" thickTop="1">
      <c r="A1" s="1868" t="s">
        <v>2781</v>
      </c>
      <c r="B1" s="1869"/>
      <c r="C1" s="1869"/>
      <c r="D1" s="1869"/>
      <c r="E1" s="1869"/>
      <c r="F1" s="1869"/>
      <c r="G1" s="1869"/>
      <c r="H1" s="1869"/>
      <c r="I1" s="1869"/>
      <c r="J1" s="1869"/>
      <c r="K1" s="1869"/>
      <c r="L1" s="1869"/>
      <c r="M1" s="1869"/>
      <c r="N1" s="1869"/>
      <c r="O1" s="1869"/>
      <c r="P1" s="1869"/>
      <c r="Q1" s="1869"/>
      <c r="R1" s="1869"/>
      <c r="S1" s="1869"/>
      <c r="T1" s="1869"/>
      <c r="U1" s="1869"/>
      <c r="V1" s="1869"/>
      <c r="W1" s="1870"/>
    </row>
    <row r="2" spans="1:23" s="41" customFormat="1" ht="35.1" customHeight="1">
      <c r="A2" s="2224"/>
      <c r="B2" s="2287"/>
      <c r="C2" s="2287"/>
      <c r="D2" s="2287"/>
      <c r="E2" s="2287"/>
      <c r="F2" s="2287"/>
      <c r="G2" s="2287"/>
      <c r="H2" s="2287"/>
      <c r="I2" s="2287"/>
      <c r="J2" s="2287"/>
      <c r="K2" s="2287"/>
      <c r="L2" s="2287"/>
      <c r="M2" s="2287"/>
      <c r="N2" s="2287"/>
      <c r="O2" s="2287"/>
      <c r="P2" s="2287"/>
      <c r="Q2" s="2287"/>
      <c r="R2" s="2287"/>
      <c r="S2" s="2287"/>
      <c r="T2" s="2287"/>
      <c r="U2" s="2287"/>
      <c r="V2" s="2287"/>
      <c r="W2" s="2225"/>
    </row>
    <row r="3" spans="1:23" s="41" customFormat="1" ht="35.1" customHeight="1">
      <c r="A3" s="1136"/>
      <c r="B3" s="1804"/>
      <c r="C3" s="1804"/>
      <c r="D3" s="1804"/>
      <c r="E3" s="1804"/>
      <c r="F3" s="2288" t="s">
        <v>1733</v>
      </c>
      <c r="G3" s="2288"/>
      <c r="H3" s="2288"/>
      <c r="I3" s="2288"/>
      <c r="J3" s="2288"/>
      <c r="K3" s="2288"/>
      <c r="L3" s="2288"/>
      <c r="M3" s="2288"/>
      <c r="N3" s="2288"/>
      <c r="O3" s="2288"/>
      <c r="P3" s="2288"/>
      <c r="Q3" s="2288"/>
      <c r="R3" s="2250" t="s">
        <v>1732</v>
      </c>
      <c r="S3" s="2250"/>
      <c r="T3" s="2250"/>
      <c r="U3" s="2250"/>
      <c r="V3" s="2250"/>
      <c r="W3" s="2251"/>
    </row>
    <row r="4" spans="1:23" s="81" customFormat="1" ht="35.1" customHeight="1">
      <c r="A4" s="1122" t="s">
        <v>520</v>
      </c>
      <c r="B4" s="79" t="s">
        <v>1727</v>
      </c>
      <c r="C4" s="1155" t="s">
        <v>1730</v>
      </c>
      <c r="D4" s="79" t="s">
        <v>487</v>
      </c>
      <c r="E4" s="79" t="s">
        <v>486</v>
      </c>
      <c r="F4" s="79" t="s">
        <v>485</v>
      </c>
      <c r="G4" s="79" t="s">
        <v>484</v>
      </c>
      <c r="H4" s="79" t="s">
        <v>483</v>
      </c>
      <c r="I4" s="79" t="s">
        <v>482</v>
      </c>
      <c r="J4" s="79" t="s">
        <v>497</v>
      </c>
      <c r="K4" s="79" t="s">
        <v>1</v>
      </c>
      <c r="L4" s="79" t="s">
        <v>2</v>
      </c>
      <c r="M4" s="79" t="s">
        <v>3</v>
      </c>
      <c r="N4" s="79" t="s">
        <v>41</v>
      </c>
      <c r="O4" s="79" t="s">
        <v>42</v>
      </c>
      <c r="P4" s="79" t="s">
        <v>129</v>
      </c>
      <c r="Q4" s="79" t="s">
        <v>142</v>
      </c>
      <c r="R4" s="79" t="s">
        <v>276</v>
      </c>
      <c r="S4" s="79" t="s">
        <v>522</v>
      </c>
      <c r="T4" s="1162" t="s">
        <v>652</v>
      </c>
      <c r="U4" s="1162" t="s">
        <v>1729</v>
      </c>
      <c r="V4" s="1162" t="s">
        <v>1728</v>
      </c>
      <c r="W4" s="1127" t="s">
        <v>1731</v>
      </c>
    </row>
    <row r="5" spans="1:23" s="41" customFormat="1" ht="35.1" customHeight="1">
      <c r="A5" s="1157">
        <v>1</v>
      </c>
      <c r="B5" s="25" t="s">
        <v>1725</v>
      </c>
      <c r="C5" s="1815" t="s">
        <v>0</v>
      </c>
      <c r="D5" s="461">
        <v>88.53</v>
      </c>
      <c r="E5" s="461">
        <v>83.13</v>
      </c>
      <c r="F5" s="737">
        <v>91.79</v>
      </c>
      <c r="G5" s="737">
        <v>93.36</v>
      </c>
      <c r="H5" s="737">
        <v>96.69</v>
      </c>
      <c r="I5" s="737">
        <v>99.18</v>
      </c>
      <c r="J5" s="737">
        <v>89.09</v>
      </c>
      <c r="K5" s="737">
        <v>95.98</v>
      </c>
      <c r="L5" s="737">
        <v>105.3</v>
      </c>
      <c r="M5" s="737">
        <v>105.23</v>
      </c>
      <c r="N5" s="737">
        <v>105.48</v>
      </c>
      <c r="O5" s="737">
        <v>104.41</v>
      </c>
      <c r="P5" s="737">
        <v>109.7</v>
      </c>
      <c r="Q5" s="737">
        <v>112.76</v>
      </c>
      <c r="R5" s="737">
        <v>116.48</v>
      </c>
      <c r="S5" s="737">
        <v>118.87</v>
      </c>
      <c r="T5" s="737">
        <v>124.36831590369489</v>
      </c>
      <c r="U5" s="737">
        <v>130.29058495051419</v>
      </c>
      <c r="V5" s="737">
        <v>104.99211459908089</v>
      </c>
      <c r="W5" s="862" t="s">
        <v>1726</v>
      </c>
    </row>
    <row r="6" spans="1:23" s="41" customFormat="1" ht="35.1" customHeight="1">
      <c r="A6" s="1157">
        <v>2</v>
      </c>
      <c r="B6" s="25" t="s">
        <v>1723</v>
      </c>
      <c r="C6" s="1815" t="s">
        <v>1699</v>
      </c>
      <c r="D6" s="461">
        <v>72.16</v>
      </c>
      <c r="E6" s="461">
        <v>68.64</v>
      </c>
      <c r="F6" s="737">
        <v>69.349999999999994</v>
      </c>
      <c r="G6" s="737">
        <v>75.81</v>
      </c>
      <c r="H6" s="737">
        <v>78.569999999999993</v>
      </c>
      <c r="I6" s="737">
        <v>80.680000000000007</v>
      </c>
      <c r="J6" s="737">
        <v>80.8</v>
      </c>
      <c r="K6" s="737">
        <v>86.87</v>
      </c>
      <c r="L6" s="737">
        <v>94.88</v>
      </c>
      <c r="M6" s="737">
        <v>93.51</v>
      </c>
      <c r="N6" s="737">
        <v>86.53</v>
      </c>
      <c r="O6" s="737">
        <v>92.29</v>
      </c>
      <c r="P6" s="737">
        <v>98.51</v>
      </c>
      <c r="Q6" s="737">
        <v>99.87</v>
      </c>
      <c r="R6" s="737">
        <v>103.6</v>
      </c>
      <c r="S6" s="737">
        <v>107.86</v>
      </c>
      <c r="T6" s="737">
        <v>109.58649823999998</v>
      </c>
      <c r="U6" s="737">
        <v>106.84485274472911</v>
      </c>
      <c r="V6" s="737"/>
      <c r="W6" s="855" t="s">
        <v>1724</v>
      </c>
    </row>
    <row r="7" spans="1:23" s="41" customFormat="1" ht="35.1" customHeight="1">
      <c r="A7" s="1157">
        <v>3</v>
      </c>
      <c r="B7" s="12" t="s">
        <v>1721</v>
      </c>
      <c r="C7" s="1815" t="s">
        <v>1692</v>
      </c>
      <c r="D7" s="461">
        <v>37.6</v>
      </c>
      <c r="E7" s="461">
        <v>33.46</v>
      </c>
      <c r="F7" s="737">
        <v>34.07</v>
      </c>
      <c r="G7" s="737">
        <v>33.92</v>
      </c>
      <c r="H7" s="737">
        <v>40.75</v>
      </c>
      <c r="I7" s="737">
        <v>40.04</v>
      </c>
      <c r="J7" s="737">
        <v>33.549999999999997</v>
      </c>
      <c r="K7" s="737">
        <v>43.4</v>
      </c>
      <c r="L7" s="737">
        <v>42.01</v>
      </c>
      <c r="M7" s="737">
        <v>40.04</v>
      </c>
      <c r="N7" s="737">
        <v>42.86</v>
      </c>
      <c r="O7" s="737">
        <v>38.520000000000003</v>
      </c>
      <c r="P7" s="737">
        <v>43.77</v>
      </c>
      <c r="Q7" s="737">
        <v>46.97</v>
      </c>
      <c r="R7" s="863">
        <v>43.06</v>
      </c>
      <c r="S7" s="737">
        <v>47.75</v>
      </c>
      <c r="T7" s="737">
        <v>51.32380238083099</v>
      </c>
      <c r="U7" s="737">
        <v>50.895206413835453</v>
      </c>
      <c r="V7" s="737">
        <v>36.557937966341839</v>
      </c>
      <c r="W7" s="855" t="s">
        <v>1722</v>
      </c>
    </row>
    <row r="8" spans="1:23" s="41" customFormat="1" ht="35.1" customHeight="1">
      <c r="A8" s="1157">
        <v>4</v>
      </c>
      <c r="B8" s="12" t="s">
        <v>1719</v>
      </c>
      <c r="C8" s="1815" t="s">
        <v>1692</v>
      </c>
      <c r="D8" s="461">
        <v>198.28</v>
      </c>
      <c r="E8" s="461">
        <v>185.23</v>
      </c>
      <c r="F8" s="737">
        <v>195.22</v>
      </c>
      <c r="G8" s="737">
        <v>203.08</v>
      </c>
      <c r="H8" s="737">
        <v>216.01</v>
      </c>
      <c r="I8" s="737">
        <v>219.9</v>
      </c>
      <c r="J8" s="737">
        <v>203.45</v>
      </c>
      <c r="K8" s="737">
        <v>226.25</v>
      </c>
      <c r="L8" s="737">
        <v>242.2</v>
      </c>
      <c r="M8" s="737">
        <v>238.78</v>
      </c>
      <c r="N8" s="737">
        <v>234.87</v>
      </c>
      <c r="O8" s="737">
        <v>235.22</v>
      </c>
      <c r="P8" s="737">
        <v>251.98</v>
      </c>
      <c r="Q8" s="737">
        <v>259.60000000000002</v>
      </c>
      <c r="R8" s="737">
        <v>263.14</v>
      </c>
      <c r="S8" s="737">
        <v>274.48</v>
      </c>
      <c r="T8" s="737">
        <v>285.27861652452589</v>
      </c>
      <c r="U8" s="737">
        <v>288.03064410907876</v>
      </c>
      <c r="V8" s="737">
        <v>141.55005256542273</v>
      </c>
      <c r="W8" s="630" t="s">
        <v>1720</v>
      </c>
    </row>
    <row r="9" spans="1:23" s="41" customFormat="1" ht="35.1" customHeight="1">
      <c r="A9" s="1157">
        <v>5</v>
      </c>
      <c r="B9" s="25" t="s">
        <v>1717</v>
      </c>
      <c r="C9" s="1815" t="s">
        <v>1692</v>
      </c>
      <c r="D9" s="461">
        <v>14.91</v>
      </c>
      <c r="E9" s="461">
        <v>13.13</v>
      </c>
      <c r="F9" s="737">
        <v>13.38</v>
      </c>
      <c r="G9" s="737">
        <v>14.2</v>
      </c>
      <c r="H9" s="737">
        <v>14.76</v>
      </c>
      <c r="I9" s="737">
        <v>14.57</v>
      </c>
      <c r="J9" s="737">
        <v>14.66</v>
      </c>
      <c r="K9" s="737">
        <v>18.239999999999998</v>
      </c>
      <c r="L9" s="737">
        <v>17.09</v>
      </c>
      <c r="M9" s="737">
        <v>18.34</v>
      </c>
      <c r="N9" s="737">
        <v>17.149999999999999</v>
      </c>
      <c r="O9" s="737">
        <v>16.32</v>
      </c>
      <c r="P9" s="737">
        <v>23.13</v>
      </c>
      <c r="Q9" s="737">
        <v>25.42</v>
      </c>
      <c r="R9" s="737">
        <v>22.08</v>
      </c>
      <c r="S9" s="737">
        <v>23.03</v>
      </c>
      <c r="T9" s="737">
        <v>25.463119198899999</v>
      </c>
      <c r="U9" s="737">
        <v>27.692052337802558</v>
      </c>
      <c r="V9" s="737">
        <v>8.36758806299623</v>
      </c>
      <c r="W9" s="855" t="s">
        <v>1718</v>
      </c>
    </row>
    <row r="10" spans="1:23" s="41" customFormat="1" ht="35.1" customHeight="1">
      <c r="A10" s="1157">
        <v>6</v>
      </c>
      <c r="B10" s="25" t="s">
        <v>1715</v>
      </c>
      <c r="C10" s="1815" t="s">
        <v>1692</v>
      </c>
      <c r="D10" s="461">
        <v>213.19</v>
      </c>
      <c r="E10" s="461">
        <v>198.36</v>
      </c>
      <c r="F10" s="737">
        <v>208.6</v>
      </c>
      <c r="G10" s="737">
        <v>217.28</v>
      </c>
      <c r="H10" s="737">
        <v>230.78</v>
      </c>
      <c r="I10" s="737">
        <v>234.47</v>
      </c>
      <c r="J10" s="737">
        <v>218.11</v>
      </c>
      <c r="K10" s="737">
        <v>244.49</v>
      </c>
      <c r="L10" s="861">
        <v>259.29000000000002</v>
      </c>
      <c r="M10" s="861">
        <v>257.12</v>
      </c>
      <c r="N10" s="861">
        <v>252.02</v>
      </c>
      <c r="O10" s="861">
        <v>251.54</v>
      </c>
      <c r="P10" s="861">
        <v>275.11</v>
      </c>
      <c r="Q10" s="861">
        <v>285.01</v>
      </c>
      <c r="R10" s="861">
        <v>285.20999999999998</v>
      </c>
      <c r="S10" s="861">
        <v>297.5</v>
      </c>
      <c r="T10" s="861">
        <v>310.74173572342585</v>
      </c>
      <c r="U10" s="861">
        <v>315.72269644688129</v>
      </c>
      <c r="V10" s="861">
        <v>149.91764062841895</v>
      </c>
      <c r="W10" s="630" t="s">
        <v>1716</v>
      </c>
    </row>
    <row r="11" spans="1:23" s="41" customFormat="1" ht="35.1" customHeight="1">
      <c r="A11" s="1157"/>
      <c r="B11" s="30" t="s">
        <v>1713</v>
      </c>
      <c r="C11" s="1815"/>
      <c r="D11" s="461"/>
      <c r="E11" s="461"/>
      <c r="F11" s="860"/>
      <c r="G11" s="860"/>
      <c r="H11" s="860"/>
      <c r="I11" s="860"/>
      <c r="J11" s="860"/>
      <c r="K11" s="859"/>
      <c r="L11" s="859"/>
      <c r="M11" s="858"/>
      <c r="N11" s="859"/>
      <c r="O11" s="858"/>
      <c r="P11" s="858"/>
      <c r="Q11" s="858"/>
      <c r="R11" s="858"/>
      <c r="S11" s="858"/>
      <c r="T11" s="858"/>
      <c r="U11" s="858"/>
      <c r="V11" s="1814"/>
      <c r="W11" s="857" t="s">
        <v>1714</v>
      </c>
    </row>
    <row r="12" spans="1:23" s="41" customFormat="1" ht="35.1" customHeight="1">
      <c r="A12" s="1157">
        <v>7</v>
      </c>
      <c r="B12" s="25" t="s">
        <v>1711</v>
      </c>
      <c r="C12" s="1815" t="s">
        <v>0</v>
      </c>
      <c r="D12" s="461">
        <v>81.27</v>
      </c>
      <c r="E12" s="461">
        <v>67.739999999999995</v>
      </c>
      <c r="F12" s="737">
        <v>79.930000000000007</v>
      </c>
      <c r="G12" s="737">
        <v>48.64</v>
      </c>
      <c r="H12" s="737">
        <v>91.83</v>
      </c>
      <c r="I12" s="737">
        <v>71.680000000000007</v>
      </c>
      <c r="J12" s="737">
        <v>54.28</v>
      </c>
      <c r="K12" s="737">
        <v>82.65</v>
      </c>
      <c r="L12" s="856">
        <v>69.64</v>
      </c>
      <c r="M12" s="856">
        <v>46.95</v>
      </c>
      <c r="N12" s="856">
        <v>74.02</v>
      </c>
      <c r="O12" s="856">
        <v>67.33</v>
      </c>
      <c r="P12" s="856">
        <v>74.62</v>
      </c>
      <c r="Q12" s="856">
        <v>92.53</v>
      </c>
      <c r="R12" s="856">
        <v>67.27</v>
      </c>
      <c r="S12" s="856">
        <v>99.52</v>
      </c>
      <c r="T12" s="856">
        <v>102.44084262999999</v>
      </c>
      <c r="U12" s="856">
        <v>101.06369963669903</v>
      </c>
      <c r="V12" s="856">
        <v>83.694084019974611</v>
      </c>
      <c r="W12" s="862" t="s">
        <v>1712</v>
      </c>
    </row>
    <row r="13" spans="1:23" s="41" customFormat="1" ht="35.1" customHeight="1">
      <c r="A13" s="1157">
        <v>8</v>
      </c>
      <c r="B13" s="25" t="s">
        <v>1709</v>
      </c>
      <c r="C13" s="1815" t="s">
        <v>1692</v>
      </c>
      <c r="D13" s="461">
        <v>7.97</v>
      </c>
      <c r="E13" s="461">
        <v>7.93</v>
      </c>
      <c r="F13" s="737">
        <v>9.91</v>
      </c>
      <c r="G13" s="737">
        <v>7.62</v>
      </c>
      <c r="H13" s="737">
        <v>10.54</v>
      </c>
      <c r="I13" s="737">
        <v>11.71</v>
      </c>
      <c r="J13" s="737">
        <v>10.09</v>
      </c>
      <c r="K13" s="737">
        <v>13.5</v>
      </c>
      <c r="L13" s="737">
        <v>22.95</v>
      </c>
      <c r="M13" s="737">
        <v>19.64</v>
      </c>
      <c r="N13" s="737">
        <v>18.7</v>
      </c>
      <c r="O13" s="737">
        <v>17.52</v>
      </c>
      <c r="P13" s="737">
        <v>13.76</v>
      </c>
      <c r="Q13" s="737">
        <v>15.68</v>
      </c>
      <c r="R13" s="737">
        <v>11.97</v>
      </c>
      <c r="S13" s="737">
        <v>18.420000000000002</v>
      </c>
      <c r="T13" s="737">
        <v>16.469564090000002</v>
      </c>
      <c r="U13" s="737">
        <v>16.106914787864671</v>
      </c>
      <c r="V13" s="737">
        <v>15.076880605099065</v>
      </c>
      <c r="W13" s="855" t="s">
        <v>1710</v>
      </c>
    </row>
    <row r="14" spans="1:23" s="41" customFormat="1" ht="35.1" customHeight="1">
      <c r="A14" s="1157">
        <v>9</v>
      </c>
      <c r="B14" s="25" t="s">
        <v>1707</v>
      </c>
      <c r="C14" s="1815" t="s">
        <v>1692</v>
      </c>
      <c r="D14" s="461">
        <v>7.82</v>
      </c>
      <c r="E14" s="461">
        <v>6.74</v>
      </c>
      <c r="F14" s="737">
        <v>6.41</v>
      </c>
      <c r="G14" s="737">
        <v>6.18</v>
      </c>
      <c r="H14" s="737">
        <v>7.57</v>
      </c>
      <c r="I14" s="737">
        <v>6.4</v>
      </c>
      <c r="J14" s="737">
        <v>5.88</v>
      </c>
      <c r="K14" s="737">
        <v>8.93</v>
      </c>
      <c r="L14" s="737">
        <v>8.1</v>
      </c>
      <c r="M14" s="737">
        <v>6.85</v>
      </c>
      <c r="N14" s="737">
        <v>8.2799999999999994</v>
      </c>
      <c r="O14" s="737">
        <v>8.5</v>
      </c>
      <c r="P14" s="737">
        <v>7.47</v>
      </c>
      <c r="Q14" s="737">
        <v>7.55</v>
      </c>
      <c r="R14" s="737">
        <v>6.89</v>
      </c>
      <c r="S14" s="737">
        <v>6.58</v>
      </c>
      <c r="T14" s="737">
        <v>8.1681336600000005</v>
      </c>
      <c r="U14" s="737">
        <v>7.6218549449089164</v>
      </c>
      <c r="V14" s="737">
        <v>6.3421120319604176</v>
      </c>
      <c r="W14" s="855" t="s">
        <v>1708</v>
      </c>
    </row>
    <row r="15" spans="1:23" s="41" customFormat="1" ht="35.1" customHeight="1">
      <c r="A15" s="1157">
        <v>10</v>
      </c>
      <c r="B15" s="25" t="s">
        <v>1705</v>
      </c>
      <c r="C15" s="1815" t="s">
        <v>1692</v>
      </c>
      <c r="D15" s="461">
        <v>1.0900000000000001</v>
      </c>
      <c r="E15" s="461">
        <v>1.1200000000000001</v>
      </c>
      <c r="F15" s="737">
        <v>1.08</v>
      </c>
      <c r="G15" s="737">
        <v>1.21</v>
      </c>
      <c r="H15" s="737">
        <v>1.1000000000000001</v>
      </c>
      <c r="I15" s="737">
        <v>1.17</v>
      </c>
      <c r="J15" s="737">
        <v>1</v>
      </c>
      <c r="K15" s="737">
        <v>1.08</v>
      </c>
      <c r="L15" s="737">
        <v>0.98</v>
      </c>
      <c r="M15" s="737">
        <v>1.01</v>
      </c>
      <c r="N15" s="737">
        <v>0.76</v>
      </c>
      <c r="O15" s="737">
        <v>0.74</v>
      </c>
      <c r="P15" s="737">
        <v>0.85</v>
      </c>
      <c r="Q15" s="737">
        <v>0.7</v>
      </c>
      <c r="R15" s="737">
        <v>0.45</v>
      </c>
      <c r="S15" s="737">
        <v>0.41</v>
      </c>
      <c r="T15" s="737">
        <v>0.42450381999999998</v>
      </c>
      <c r="U15" s="737">
        <v>0.33692861999999996</v>
      </c>
      <c r="V15" s="737">
        <v>0.29806604727161135</v>
      </c>
      <c r="W15" s="855" t="s">
        <v>1706</v>
      </c>
    </row>
    <row r="16" spans="1:23" s="41" customFormat="1" ht="35.1" customHeight="1">
      <c r="A16" s="1157">
        <v>11</v>
      </c>
      <c r="B16" s="25" t="s">
        <v>1703</v>
      </c>
      <c r="C16" s="1815" t="s">
        <v>1699</v>
      </c>
      <c r="D16" s="461">
        <v>62.91</v>
      </c>
      <c r="E16" s="461">
        <v>75.930000000000007</v>
      </c>
      <c r="F16" s="737">
        <v>81.31</v>
      </c>
      <c r="G16" s="737">
        <v>74.38</v>
      </c>
      <c r="H16" s="737">
        <v>58.34</v>
      </c>
      <c r="I16" s="737">
        <v>72.010000000000005</v>
      </c>
      <c r="J16" s="737">
        <v>66.08</v>
      </c>
      <c r="K16" s="737">
        <v>81.790000000000006</v>
      </c>
      <c r="L16" s="737">
        <v>66.040000000000006</v>
      </c>
      <c r="M16" s="737">
        <v>80.290000000000006</v>
      </c>
      <c r="N16" s="737">
        <v>62.82</v>
      </c>
      <c r="O16" s="737">
        <v>67.97</v>
      </c>
      <c r="P16" s="737">
        <v>79.17</v>
      </c>
      <c r="Q16" s="737">
        <v>84.3</v>
      </c>
      <c r="R16" s="737">
        <v>92.56</v>
      </c>
      <c r="S16" s="737">
        <v>91.24</v>
      </c>
      <c r="T16" s="737">
        <v>102.10007471999999</v>
      </c>
      <c r="U16" s="737">
        <v>117.46050361117646</v>
      </c>
      <c r="V16" s="737"/>
      <c r="W16" s="855" t="s">
        <v>1704</v>
      </c>
    </row>
    <row r="17" spans="1:23" s="41" customFormat="1" ht="35.1" customHeight="1">
      <c r="A17" s="1157">
        <v>12</v>
      </c>
      <c r="B17" s="25" t="s">
        <v>1701</v>
      </c>
      <c r="C17" s="1815" t="s">
        <v>1699</v>
      </c>
      <c r="D17" s="461">
        <v>1.97</v>
      </c>
      <c r="E17" s="461">
        <v>1.7</v>
      </c>
      <c r="F17" s="737">
        <v>1.73</v>
      </c>
      <c r="G17" s="737">
        <v>1.68</v>
      </c>
      <c r="H17" s="737">
        <v>1.63</v>
      </c>
      <c r="I17" s="737">
        <v>1.69</v>
      </c>
      <c r="J17" s="737">
        <v>1.54</v>
      </c>
      <c r="K17" s="737">
        <v>1.47</v>
      </c>
      <c r="L17" s="737">
        <v>1.52</v>
      </c>
      <c r="M17" s="737">
        <v>1.49</v>
      </c>
      <c r="N17" s="737">
        <v>1.55</v>
      </c>
      <c r="O17" s="737">
        <v>1.26</v>
      </c>
      <c r="P17" s="737">
        <v>1.84</v>
      </c>
      <c r="Q17" s="737">
        <v>1.74</v>
      </c>
      <c r="R17" s="737">
        <v>0.99</v>
      </c>
      <c r="S17" s="737">
        <v>1.21</v>
      </c>
      <c r="T17" s="737">
        <v>1.11361512</v>
      </c>
      <c r="U17" s="737">
        <v>1.3269959222162013</v>
      </c>
      <c r="V17" s="737"/>
      <c r="W17" s="855" t="s">
        <v>1702</v>
      </c>
    </row>
    <row r="18" spans="1:23" s="41" customFormat="1" ht="35.1" customHeight="1">
      <c r="A18" s="1157">
        <v>13</v>
      </c>
      <c r="B18" s="25" t="s">
        <v>1698</v>
      </c>
      <c r="C18" s="1815" t="s">
        <v>1699</v>
      </c>
      <c r="D18" s="461">
        <v>1.35</v>
      </c>
      <c r="E18" s="461">
        <v>1.74</v>
      </c>
      <c r="F18" s="737">
        <v>2.29</v>
      </c>
      <c r="G18" s="737">
        <v>2.4</v>
      </c>
      <c r="H18" s="737">
        <v>2.25</v>
      </c>
      <c r="I18" s="737">
        <v>1.89</v>
      </c>
      <c r="J18" s="737">
        <v>1.79</v>
      </c>
      <c r="K18" s="737">
        <v>1.5</v>
      </c>
      <c r="L18" s="737">
        <v>1.45</v>
      </c>
      <c r="M18" s="737">
        <v>1.0900000000000001</v>
      </c>
      <c r="N18" s="737">
        <v>0.9</v>
      </c>
      <c r="O18" s="737">
        <v>0.53</v>
      </c>
      <c r="P18" s="737">
        <v>0.94</v>
      </c>
      <c r="Q18" s="737">
        <v>0.55000000000000004</v>
      </c>
      <c r="R18" s="737">
        <v>0.25</v>
      </c>
      <c r="S18" s="737">
        <v>0.44</v>
      </c>
      <c r="T18" s="737">
        <v>0.35890307999999999</v>
      </c>
      <c r="U18" s="737">
        <v>0.5725503414260561</v>
      </c>
      <c r="V18" s="737"/>
      <c r="W18" s="855" t="s">
        <v>1700</v>
      </c>
    </row>
    <row r="19" spans="1:23" s="41" customFormat="1" ht="35.1" customHeight="1">
      <c r="A19" s="1157">
        <v>14</v>
      </c>
      <c r="B19" s="25" t="s">
        <v>1696</v>
      </c>
      <c r="C19" s="1815" t="s">
        <v>1692</v>
      </c>
      <c r="D19" s="461">
        <v>9.3000000000000007</v>
      </c>
      <c r="E19" s="461">
        <v>11.87</v>
      </c>
      <c r="F19" s="737">
        <v>14.39</v>
      </c>
      <c r="G19" s="737">
        <v>12.28</v>
      </c>
      <c r="H19" s="737">
        <v>14.63</v>
      </c>
      <c r="I19" s="737">
        <v>11.58</v>
      </c>
      <c r="J19" s="737">
        <v>8.51</v>
      </c>
      <c r="K19" s="737">
        <v>6.51</v>
      </c>
      <c r="L19" s="737">
        <v>5.17</v>
      </c>
      <c r="M19" s="737">
        <v>5.44</v>
      </c>
      <c r="N19" s="737">
        <v>4.34</v>
      </c>
      <c r="O19" s="737">
        <v>2.96</v>
      </c>
      <c r="P19" s="737">
        <v>2.5099999999999998</v>
      </c>
      <c r="Q19" s="737">
        <v>2.2200000000000002</v>
      </c>
      <c r="R19" s="737">
        <v>2.16</v>
      </c>
      <c r="S19" s="737">
        <v>2.13</v>
      </c>
      <c r="T19" s="737">
        <v>2.28320532</v>
      </c>
      <c r="U19" s="737">
        <v>2.525518305353641</v>
      </c>
      <c r="V19" s="737">
        <v>1.3994589410472418</v>
      </c>
      <c r="W19" s="630" t="s">
        <v>1697</v>
      </c>
    </row>
    <row r="20" spans="1:23" s="41" customFormat="1" ht="35.1" customHeight="1">
      <c r="A20" s="1157">
        <v>15</v>
      </c>
      <c r="B20" s="25" t="s">
        <v>1694</v>
      </c>
      <c r="C20" s="1815" t="s">
        <v>1692</v>
      </c>
      <c r="D20" s="461">
        <v>78.180000000000007</v>
      </c>
      <c r="E20" s="461">
        <v>68.760000000000005</v>
      </c>
      <c r="F20" s="737">
        <v>82.74</v>
      </c>
      <c r="G20" s="737">
        <v>88.51</v>
      </c>
      <c r="H20" s="737">
        <v>109.68</v>
      </c>
      <c r="I20" s="737">
        <v>99.05</v>
      </c>
      <c r="J20" s="737">
        <v>99.64</v>
      </c>
      <c r="K20" s="737">
        <v>127.36</v>
      </c>
      <c r="L20" s="737">
        <v>122.14</v>
      </c>
      <c r="M20" s="737">
        <v>146.66</v>
      </c>
      <c r="N20" s="737">
        <v>103.74</v>
      </c>
      <c r="O20" s="737">
        <v>85.7</v>
      </c>
      <c r="P20" s="737">
        <v>131.59</v>
      </c>
      <c r="Q20" s="737">
        <v>109.33</v>
      </c>
      <c r="R20" s="737">
        <v>132.68</v>
      </c>
      <c r="S20" s="737">
        <v>112.26</v>
      </c>
      <c r="T20" s="737">
        <v>126.10296122000001</v>
      </c>
      <c r="U20" s="737">
        <v>129.94546405691838</v>
      </c>
      <c r="V20" s="737">
        <v>128.9199537899926</v>
      </c>
      <c r="W20" s="855" t="s">
        <v>1695</v>
      </c>
    </row>
    <row r="21" spans="1:23" s="41" customFormat="1" ht="35.1" customHeight="1">
      <c r="A21" s="1157">
        <v>16</v>
      </c>
      <c r="B21" s="25" t="s">
        <v>1691</v>
      </c>
      <c r="C21" s="1815" t="s">
        <v>1692</v>
      </c>
      <c r="D21" s="461">
        <v>251.86</v>
      </c>
      <c r="E21" s="461">
        <v>243.54</v>
      </c>
      <c r="F21" s="737">
        <v>279.77999999999997</v>
      </c>
      <c r="G21" s="737">
        <v>242.89</v>
      </c>
      <c r="H21" s="737">
        <v>297.55</v>
      </c>
      <c r="I21" s="737">
        <v>277.19</v>
      </c>
      <c r="J21" s="737">
        <v>248.82</v>
      </c>
      <c r="K21" s="737">
        <v>324.79000000000002</v>
      </c>
      <c r="L21" s="737">
        <v>297.99</v>
      </c>
      <c r="M21" s="737">
        <v>309.41000000000003</v>
      </c>
      <c r="N21" s="737">
        <v>275.11</v>
      </c>
      <c r="O21" s="737">
        <v>252.51</v>
      </c>
      <c r="P21" s="737">
        <v>312.76</v>
      </c>
      <c r="Q21" s="737">
        <v>314.58999999999997</v>
      </c>
      <c r="R21" s="737">
        <v>315.22000000000003</v>
      </c>
      <c r="S21" s="737">
        <v>332.19</v>
      </c>
      <c r="T21" s="737">
        <v>359.46180365999999</v>
      </c>
      <c r="U21" s="737">
        <v>376.96043022656335</v>
      </c>
      <c r="V21" s="737">
        <v>235.73055543534556</v>
      </c>
      <c r="W21" s="855" t="s">
        <v>1693</v>
      </c>
    </row>
    <row r="22" spans="1:23" s="41" customFormat="1" ht="35.1" customHeight="1">
      <c r="A22" s="1157">
        <v>17</v>
      </c>
      <c r="B22" s="25" t="s">
        <v>1689</v>
      </c>
      <c r="C22" s="1815" t="s">
        <v>0</v>
      </c>
      <c r="D22" s="461">
        <v>137.29</v>
      </c>
      <c r="E22" s="461">
        <v>164.29</v>
      </c>
      <c r="F22" s="737">
        <v>184.99</v>
      </c>
      <c r="G22" s="737">
        <v>226.32</v>
      </c>
      <c r="H22" s="737">
        <v>258.83999999999997</v>
      </c>
      <c r="I22" s="737">
        <v>222.76</v>
      </c>
      <c r="J22" s="737">
        <v>240.22</v>
      </c>
      <c r="K22" s="737">
        <v>330</v>
      </c>
      <c r="L22" s="737">
        <v>352</v>
      </c>
      <c r="M22" s="737">
        <v>342.2</v>
      </c>
      <c r="N22" s="737">
        <v>348.05</v>
      </c>
      <c r="O22" s="737">
        <v>300.05</v>
      </c>
      <c r="P22" s="737">
        <v>325.77</v>
      </c>
      <c r="Q22" s="737">
        <v>328.05</v>
      </c>
      <c r="R22" s="737">
        <v>280.42</v>
      </c>
      <c r="S22" s="737">
        <v>360.65</v>
      </c>
      <c r="T22" s="737">
        <v>352.48345970588235</v>
      </c>
      <c r="U22" s="737">
        <v>312.02980631234584</v>
      </c>
      <c r="V22" s="737">
        <v>341.90496882352943</v>
      </c>
      <c r="W22" s="855" t="s">
        <v>1690</v>
      </c>
    </row>
    <row r="23" spans="1:23" s="41" customFormat="1" ht="35.1" customHeight="1">
      <c r="A23" s="1157">
        <v>18</v>
      </c>
      <c r="B23" s="25" t="s">
        <v>1687</v>
      </c>
      <c r="C23" s="1815" t="s">
        <v>0</v>
      </c>
      <c r="D23" s="461">
        <v>102.52</v>
      </c>
      <c r="E23" s="461">
        <v>93.99</v>
      </c>
      <c r="F23" s="737">
        <v>99.7</v>
      </c>
      <c r="G23" s="737">
        <v>103.17</v>
      </c>
      <c r="H23" s="737">
        <v>102.2</v>
      </c>
      <c r="I23" s="737">
        <v>96.34</v>
      </c>
      <c r="J23" s="737">
        <v>112.3</v>
      </c>
      <c r="K23" s="737">
        <v>100.09</v>
      </c>
      <c r="L23" s="737">
        <v>107.36</v>
      </c>
      <c r="M23" s="737">
        <v>103.4</v>
      </c>
      <c r="N23" s="737">
        <v>106.18</v>
      </c>
      <c r="O23" s="737">
        <v>99.4</v>
      </c>
      <c r="P23" s="737">
        <v>104.32</v>
      </c>
      <c r="Q23" s="737">
        <v>95.91</v>
      </c>
      <c r="R23" s="737">
        <v>94.9</v>
      </c>
      <c r="S23" s="737">
        <v>94.46</v>
      </c>
      <c r="T23" s="737">
        <v>89.525522277777767</v>
      </c>
      <c r="U23" s="737">
        <v>99.080804374267785</v>
      </c>
      <c r="V23" s="737">
        <v>96.642600913106293</v>
      </c>
      <c r="W23" s="855" t="s">
        <v>1688</v>
      </c>
    </row>
    <row r="24" spans="1:23" s="41" customFormat="1" ht="35.1" customHeight="1">
      <c r="A24" s="1157">
        <v>19</v>
      </c>
      <c r="B24" s="25" t="s">
        <v>1685</v>
      </c>
      <c r="C24" s="1815" t="s">
        <v>0</v>
      </c>
      <c r="D24" s="461">
        <v>9.2100000000000009</v>
      </c>
      <c r="E24" s="461">
        <v>8.73</v>
      </c>
      <c r="F24" s="737">
        <v>8.6999999999999993</v>
      </c>
      <c r="G24" s="737">
        <v>9.56</v>
      </c>
      <c r="H24" s="737">
        <v>9.9</v>
      </c>
      <c r="I24" s="737">
        <v>7.31</v>
      </c>
      <c r="J24" s="737">
        <v>5.87</v>
      </c>
      <c r="K24" s="737">
        <v>6.11</v>
      </c>
      <c r="L24" s="737">
        <v>6.63</v>
      </c>
      <c r="M24" s="737">
        <v>5.9</v>
      </c>
      <c r="N24" s="737">
        <v>5.08</v>
      </c>
      <c r="O24" s="737">
        <v>5.83</v>
      </c>
      <c r="P24" s="737">
        <v>5.3</v>
      </c>
      <c r="Q24" s="737">
        <v>4.42</v>
      </c>
      <c r="R24" s="737">
        <v>3.23</v>
      </c>
      <c r="S24" s="737">
        <v>4.3099999999999996</v>
      </c>
      <c r="T24" s="737">
        <v>4.0187541111111109</v>
      </c>
      <c r="U24" s="737">
        <v>4.0862021117933427</v>
      </c>
      <c r="V24" s="737">
        <v>4.2608463540501242</v>
      </c>
      <c r="W24" s="855" t="s">
        <v>1686</v>
      </c>
    </row>
    <row r="25" spans="1:23" s="41" customFormat="1" ht="35.1" customHeight="1">
      <c r="A25" s="1157">
        <v>20</v>
      </c>
      <c r="B25" s="25" t="s">
        <v>1683</v>
      </c>
      <c r="C25" s="1815" t="s">
        <v>0</v>
      </c>
      <c r="D25" s="461">
        <v>111.73</v>
      </c>
      <c r="E25" s="461">
        <v>102.72</v>
      </c>
      <c r="F25" s="737">
        <v>108.4</v>
      </c>
      <c r="G25" s="737">
        <v>112.73</v>
      </c>
      <c r="H25" s="737">
        <v>112.11</v>
      </c>
      <c r="I25" s="737">
        <v>103.65</v>
      </c>
      <c r="J25" s="737">
        <v>118.17</v>
      </c>
      <c r="K25" s="737">
        <v>106.2</v>
      </c>
      <c r="L25" s="737">
        <v>113.99</v>
      </c>
      <c r="M25" s="737">
        <v>109.3</v>
      </c>
      <c r="N25" s="737">
        <v>111.26</v>
      </c>
      <c r="O25" s="737">
        <v>105.24</v>
      </c>
      <c r="P25" s="737">
        <v>109.62</v>
      </c>
      <c r="Q25" s="737">
        <v>101.33</v>
      </c>
      <c r="R25" s="737">
        <v>98.2</v>
      </c>
      <c r="S25" s="737">
        <v>98.77</v>
      </c>
      <c r="T25" s="737">
        <v>93.544276388888861</v>
      </c>
      <c r="U25" s="737">
        <v>103.16700648606113</v>
      </c>
      <c r="V25" s="737">
        <v>100.90344726715641</v>
      </c>
      <c r="W25" s="855" t="s">
        <v>1684</v>
      </c>
    </row>
    <row r="26" spans="1:23" s="41" customFormat="1" ht="35.1" customHeight="1">
      <c r="A26" s="1157">
        <v>21</v>
      </c>
      <c r="B26" s="25" t="s">
        <v>1681</v>
      </c>
      <c r="C26" s="1815" t="s">
        <v>0</v>
      </c>
      <c r="D26" s="461">
        <v>2338.62</v>
      </c>
      <c r="E26" s="461">
        <v>2370.88</v>
      </c>
      <c r="F26" s="737">
        <v>2811.72</v>
      </c>
      <c r="G26" s="737">
        <v>3555.2</v>
      </c>
      <c r="H26" s="737">
        <v>3481.88</v>
      </c>
      <c r="I26" s="737">
        <v>2850.29</v>
      </c>
      <c r="J26" s="737">
        <v>2923.02</v>
      </c>
      <c r="K26" s="737">
        <v>3423.82</v>
      </c>
      <c r="L26" s="737">
        <v>3610.37</v>
      </c>
      <c r="M26" s="737">
        <v>3412</v>
      </c>
      <c r="N26" s="737">
        <v>3623.33</v>
      </c>
      <c r="O26" s="737">
        <v>3484.48</v>
      </c>
      <c r="P26" s="737">
        <v>3060.69</v>
      </c>
      <c r="Q26" s="737">
        <v>3799.05</v>
      </c>
      <c r="R26" s="737">
        <v>4054.16</v>
      </c>
      <c r="S26" s="737">
        <v>3705</v>
      </c>
      <c r="T26" s="737">
        <v>4053.9871318625001</v>
      </c>
      <c r="U26" s="737">
        <v>4318.119304117231</v>
      </c>
      <c r="V26" s="737">
        <v>4650.491565303917</v>
      </c>
      <c r="W26" s="855" t="s">
        <v>1682</v>
      </c>
    </row>
    <row r="27" spans="1:23" s="41" customFormat="1" ht="18" customHeight="1">
      <c r="A27" s="1136" t="s">
        <v>1680</v>
      </c>
      <c r="B27" s="1804"/>
      <c r="C27" s="1804"/>
      <c r="D27" s="1804"/>
      <c r="E27" s="1804"/>
      <c r="F27" s="1804"/>
      <c r="G27" s="1804"/>
      <c r="H27" s="1804"/>
      <c r="I27" s="1816"/>
      <c r="J27" s="1804"/>
      <c r="K27" s="1804"/>
      <c r="L27" s="1804"/>
      <c r="M27" s="1804"/>
      <c r="N27" s="1804"/>
      <c r="O27" s="1804"/>
      <c r="P27" s="1804"/>
      <c r="Q27" s="1804"/>
      <c r="R27" s="1804"/>
      <c r="S27" s="1804"/>
      <c r="T27" s="1817" t="s">
        <v>1679</v>
      </c>
      <c r="U27" s="1816"/>
      <c r="V27" s="1804"/>
      <c r="W27" s="1135"/>
    </row>
    <row r="28" spans="1:23" s="9" customFormat="1" ht="16.5" customHeight="1">
      <c r="A28" s="136" t="s">
        <v>1652</v>
      </c>
      <c r="B28" s="1817"/>
      <c r="C28" s="1817"/>
      <c r="D28" s="1817"/>
      <c r="E28" s="1817"/>
      <c r="F28" s="1817"/>
      <c r="G28" s="1817"/>
      <c r="H28" s="1817"/>
      <c r="I28" s="1817"/>
      <c r="J28" s="1817"/>
      <c r="K28" s="1817"/>
      <c r="L28" s="1817"/>
      <c r="M28" s="1817"/>
      <c r="N28" s="1817"/>
      <c r="O28" s="1817"/>
      <c r="P28" s="1817"/>
      <c r="Q28" s="1817"/>
      <c r="R28" s="1817"/>
      <c r="S28" s="1817"/>
      <c r="T28" s="1817" t="s">
        <v>1678</v>
      </c>
      <c r="U28" s="1817"/>
      <c r="V28" s="1817"/>
      <c r="W28" s="175"/>
    </row>
    <row r="29" spans="1:23" s="41" customFormat="1" ht="16.5" customHeight="1" thickBot="1">
      <c r="A29" s="442" t="s">
        <v>1677</v>
      </c>
      <c r="B29" s="194"/>
      <c r="C29" s="194"/>
      <c r="D29" s="194"/>
      <c r="E29" s="194"/>
      <c r="F29" s="194"/>
      <c r="G29" s="194"/>
      <c r="H29" s="194"/>
      <c r="I29" s="194"/>
      <c r="J29" s="194"/>
      <c r="K29" s="194"/>
      <c r="L29" s="194"/>
      <c r="M29" s="194"/>
      <c r="N29" s="194"/>
      <c r="O29" s="194"/>
      <c r="P29" s="194"/>
      <c r="Q29" s="194"/>
      <c r="R29" s="194"/>
      <c r="S29" s="194"/>
      <c r="T29" s="194"/>
      <c r="U29" s="194"/>
      <c r="V29" s="194"/>
      <c r="W29" s="854"/>
    </row>
    <row r="30" spans="1:23" ht="16.5" thickTop="1"/>
    <row r="37" spans="12:12">
      <c r="L37" s="1"/>
    </row>
  </sheetData>
  <mergeCells count="4">
    <mergeCell ref="A1:W1"/>
    <mergeCell ref="A2:W2"/>
    <mergeCell ref="F3:Q3"/>
    <mergeCell ref="R3:W3"/>
  </mergeCells>
  <conditionalFormatting sqref="Y4:XFD10 W4:W10 X11:XFD11 Y12:XFD26 W12:W26">
    <cfRule type="expression" dxfId="50" priority="5">
      <formula>MOD(ROW(),3)=1</formula>
    </cfRule>
  </conditionalFormatting>
  <conditionalFormatting sqref="A5:W26">
    <cfRule type="expression" dxfId="49" priority="1">
      <formula>MOD(ROW(),3)=1</formula>
    </cfRule>
  </conditionalFormatting>
  <pageMargins left="0.6692913385826772" right="0.15748031496062992" top="0.55118110236220474" bottom="0.74803149606299213" header="0.31496062992125984" footer="0.31496062992125984"/>
  <pageSetup paperSize="9" scale="68" fitToWidth="0" fitToHeight="0" orientation="portrait" r:id="rId1"/>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CB086-B70F-4476-AAE8-5DD5276D1BB2}">
  <dimension ref="A1:AE35"/>
  <sheetViews>
    <sheetView view="pageBreakPreview" zoomScaleSheetLayoutView="100" workbookViewId="0">
      <selection activeCell="S17" sqref="S17"/>
    </sheetView>
  </sheetViews>
  <sheetFormatPr defaultColWidth="9.140625" defaultRowHeight="15"/>
  <cols>
    <col min="1" max="1" width="7.42578125" style="62" customWidth="1"/>
    <col min="2" max="2" width="27.5703125" style="62" customWidth="1"/>
    <col min="3" max="3" width="12.7109375" style="62" customWidth="1"/>
    <col min="4" max="5" width="8.140625" style="62" hidden="1" customWidth="1"/>
    <col min="6" max="6" width="8" style="62" hidden="1" customWidth="1"/>
    <col min="7" max="7" width="8.28515625" style="62" hidden="1" customWidth="1"/>
    <col min="8" max="8" width="8.140625" style="62" hidden="1" customWidth="1"/>
    <col min="9" max="9" width="8.28515625" style="62" hidden="1" customWidth="1"/>
    <col min="10" max="10" width="7.7109375" style="62" hidden="1" customWidth="1"/>
    <col min="11" max="11" width="8" style="62" hidden="1" customWidth="1"/>
    <col min="12" max="13" width="10.7109375" style="62" hidden="1" customWidth="1"/>
    <col min="14" max="22" width="9.28515625" style="62" customWidth="1"/>
    <col min="23" max="23" width="24.5703125" style="62" customWidth="1"/>
    <col min="24" max="16384" width="9.140625" style="62"/>
  </cols>
  <sheetData>
    <row r="1" spans="1:31" s="881" customFormat="1" ht="24.95" customHeight="1" thickTop="1">
      <c r="A1" s="2289" t="s">
        <v>2782</v>
      </c>
      <c r="B1" s="2290"/>
      <c r="C1" s="2290"/>
      <c r="D1" s="2290"/>
      <c r="E1" s="2290"/>
      <c r="F1" s="2290"/>
      <c r="G1" s="2290"/>
      <c r="H1" s="2290"/>
      <c r="I1" s="2290"/>
      <c r="J1" s="2290"/>
      <c r="K1" s="2290"/>
      <c r="L1" s="2290"/>
      <c r="M1" s="2290"/>
      <c r="N1" s="2290"/>
      <c r="O1" s="2290"/>
      <c r="P1" s="2290"/>
      <c r="Q1" s="2290"/>
      <c r="R1" s="2290"/>
      <c r="S1" s="2290"/>
      <c r="T1" s="2290"/>
      <c r="U1" s="2290"/>
      <c r="V1" s="2290"/>
      <c r="W1" s="2291"/>
    </row>
    <row r="2" spans="1:31" s="881" customFormat="1" ht="24.95" customHeight="1">
      <c r="A2" s="2292" t="s">
        <v>2783</v>
      </c>
      <c r="B2" s="2293"/>
      <c r="C2" s="2293"/>
      <c r="D2" s="2293"/>
      <c r="E2" s="2293"/>
      <c r="F2" s="2293"/>
      <c r="G2" s="2293"/>
      <c r="H2" s="2293"/>
      <c r="I2" s="2293"/>
      <c r="J2" s="2293"/>
      <c r="K2" s="2293"/>
      <c r="L2" s="2293"/>
      <c r="M2" s="2293"/>
      <c r="N2" s="2293"/>
      <c r="O2" s="2293"/>
      <c r="P2" s="2293"/>
      <c r="Q2" s="2293"/>
      <c r="R2" s="2293"/>
      <c r="S2" s="2293"/>
      <c r="T2" s="2293"/>
      <c r="U2" s="2293"/>
      <c r="V2" s="2293"/>
      <c r="W2" s="2294"/>
    </row>
    <row r="3" spans="1:31" s="878" customFormat="1" ht="45" customHeight="1">
      <c r="A3" s="1358" t="s">
        <v>688</v>
      </c>
      <c r="B3" s="879" t="s">
        <v>1769</v>
      </c>
      <c r="C3" s="880" t="s">
        <v>1768</v>
      </c>
      <c r="D3" s="880" t="s">
        <v>930</v>
      </c>
      <c r="E3" s="880" t="s">
        <v>487</v>
      </c>
      <c r="F3" s="880" t="s">
        <v>486</v>
      </c>
      <c r="G3" s="880" t="s">
        <v>485</v>
      </c>
      <c r="H3" s="880" t="s">
        <v>484</v>
      </c>
      <c r="I3" s="880" t="s">
        <v>483</v>
      </c>
      <c r="J3" s="880" t="s">
        <v>482</v>
      </c>
      <c r="K3" s="880" t="s">
        <v>497</v>
      </c>
      <c r="L3" s="880" t="s">
        <v>1</v>
      </c>
      <c r="M3" s="880" t="s">
        <v>2</v>
      </c>
      <c r="N3" s="880" t="s">
        <v>3</v>
      </c>
      <c r="O3" s="880" t="s">
        <v>13</v>
      </c>
      <c r="P3" s="880" t="s">
        <v>41</v>
      </c>
      <c r="Q3" s="880" t="s">
        <v>42</v>
      </c>
      <c r="R3" s="880" t="s">
        <v>129</v>
      </c>
      <c r="S3" s="880" t="s">
        <v>142</v>
      </c>
      <c r="T3" s="880" t="s">
        <v>276</v>
      </c>
      <c r="U3" s="880" t="s">
        <v>522</v>
      </c>
      <c r="V3" s="880" t="s">
        <v>652</v>
      </c>
      <c r="W3" s="1359" t="s">
        <v>1767</v>
      </c>
      <c r="AE3" s="812"/>
    </row>
    <row r="4" spans="1:31" s="19" customFormat="1" ht="33" customHeight="1">
      <c r="A4" s="1360" t="s">
        <v>1766</v>
      </c>
      <c r="B4" s="874" t="s">
        <v>1765</v>
      </c>
      <c r="C4" s="2298"/>
      <c r="D4" s="2299"/>
      <c r="E4" s="2299"/>
      <c r="F4" s="2299"/>
      <c r="G4" s="2299"/>
      <c r="H4" s="2299"/>
      <c r="I4" s="2299"/>
      <c r="J4" s="2299"/>
      <c r="K4" s="2299"/>
      <c r="L4" s="2299"/>
      <c r="M4" s="2299"/>
      <c r="N4" s="2299"/>
      <c r="O4" s="2299"/>
      <c r="P4" s="2299"/>
      <c r="Q4" s="2299"/>
      <c r="R4" s="2299"/>
      <c r="S4" s="2299"/>
      <c r="T4" s="2299"/>
      <c r="U4" s="2299"/>
      <c r="V4" s="873"/>
      <c r="W4" s="1361" t="s">
        <v>1764</v>
      </c>
    </row>
    <row r="5" spans="1:31" s="19" customFormat="1" ht="33" customHeight="1">
      <c r="A5" s="1362"/>
      <c r="B5" s="868" t="s">
        <v>1763</v>
      </c>
      <c r="C5" s="871" t="s">
        <v>1762</v>
      </c>
      <c r="D5" s="870">
        <v>48.42</v>
      </c>
      <c r="E5" s="870">
        <v>61.82</v>
      </c>
      <c r="F5" s="872">
        <v>66.459999999999994</v>
      </c>
      <c r="G5" s="870">
        <v>68.64</v>
      </c>
      <c r="H5" s="870">
        <v>73.83</v>
      </c>
      <c r="I5" s="870">
        <v>91.96</v>
      </c>
      <c r="J5" s="870">
        <v>94.41</v>
      </c>
      <c r="K5" s="871">
        <v>102</v>
      </c>
      <c r="L5" s="871">
        <v>118.85</v>
      </c>
      <c r="M5" s="871">
        <v>123.38</v>
      </c>
      <c r="N5" s="871">
        <v>110.2</v>
      </c>
      <c r="O5" s="871">
        <v>82.29</v>
      </c>
      <c r="P5" s="871">
        <v>86.21</v>
      </c>
      <c r="Q5" s="871">
        <v>90.37</v>
      </c>
      <c r="R5" s="871">
        <v>110.71</v>
      </c>
      <c r="S5" s="871">
        <v>105.08</v>
      </c>
      <c r="T5" s="871">
        <v>104.26</v>
      </c>
      <c r="U5" s="871">
        <v>92.7</v>
      </c>
      <c r="V5" s="871">
        <v>91.16</v>
      </c>
      <c r="W5" s="1363" t="s">
        <v>1761</v>
      </c>
    </row>
    <row r="6" spans="1:31" s="19" customFormat="1" ht="33" customHeight="1">
      <c r="A6" s="1362"/>
      <c r="B6" s="868" t="s">
        <v>1760</v>
      </c>
      <c r="C6" s="865" t="s">
        <v>1757</v>
      </c>
      <c r="D6" s="866">
        <v>6.14</v>
      </c>
      <c r="E6" s="866">
        <v>6.5</v>
      </c>
      <c r="F6" s="867">
        <v>6.9</v>
      </c>
      <c r="G6" s="866">
        <v>7.4</v>
      </c>
      <c r="H6" s="866">
        <v>7.96</v>
      </c>
      <c r="I6" s="866">
        <v>8.2200000000000006</v>
      </c>
      <c r="J6" s="866">
        <v>9.6199999999999992</v>
      </c>
      <c r="K6" s="865">
        <v>11.46</v>
      </c>
      <c r="L6" s="865">
        <v>18.059999999999999</v>
      </c>
      <c r="M6" s="865">
        <v>22.26</v>
      </c>
      <c r="N6" s="865">
        <v>16.170000000000002</v>
      </c>
      <c r="O6" s="865">
        <v>17.43</v>
      </c>
      <c r="P6" s="865">
        <v>15.76</v>
      </c>
      <c r="Q6" s="865">
        <v>14.95</v>
      </c>
      <c r="R6" s="865">
        <v>22.09</v>
      </c>
      <c r="S6" s="865">
        <v>19.54</v>
      </c>
      <c r="T6" s="865">
        <v>18</v>
      </c>
      <c r="U6" s="865">
        <v>22.25</v>
      </c>
      <c r="V6" s="865">
        <v>24.12</v>
      </c>
      <c r="W6" s="1363" t="s">
        <v>1759</v>
      </c>
    </row>
    <row r="7" spans="1:31" s="19" customFormat="1" ht="33" customHeight="1">
      <c r="A7" s="1362"/>
      <c r="B7" s="868" t="s">
        <v>1758</v>
      </c>
      <c r="C7" s="876" t="s">
        <v>1757</v>
      </c>
      <c r="D7" s="875">
        <v>98.03</v>
      </c>
      <c r="E7" s="875">
        <v>108.59</v>
      </c>
      <c r="F7" s="877">
        <v>120.26</v>
      </c>
      <c r="G7" s="875">
        <v>126.75</v>
      </c>
      <c r="H7" s="875">
        <v>155.01</v>
      </c>
      <c r="I7" s="875">
        <v>179.05</v>
      </c>
      <c r="J7" s="875">
        <v>215.81</v>
      </c>
      <c r="K7" s="876">
        <v>257.11</v>
      </c>
      <c r="L7" s="876">
        <v>277.33999999999997</v>
      </c>
      <c r="M7" s="876">
        <v>294.85000000000002</v>
      </c>
      <c r="N7" s="876">
        <v>313.44</v>
      </c>
      <c r="O7" s="876">
        <v>301.39</v>
      </c>
      <c r="P7" s="875">
        <v>303.12</v>
      </c>
      <c r="Q7" s="875">
        <v>304.04000000000002</v>
      </c>
      <c r="R7" s="875">
        <v>348.58</v>
      </c>
      <c r="S7" s="875">
        <v>352.01</v>
      </c>
      <c r="T7" s="875">
        <v>320.41000000000003</v>
      </c>
      <c r="U7" s="875">
        <v>383.72</v>
      </c>
      <c r="V7" s="875">
        <v>421.09</v>
      </c>
      <c r="W7" s="1363" t="s">
        <v>1756</v>
      </c>
    </row>
    <row r="8" spans="1:31" s="19" customFormat="1" ht="33" customHeight="1">
      <c r="A8" s="1360" t="s">
        <v>1755</v>
      </c>
      <c r="B8" s="874" t="s">
        <v>1754</v>
      </c>
      <c r="C8" s="2298"/>
      <c r="D8" s="2299"/>
      <c r="E8" s="2299"/>
      <c r="F8" s="2299"/>
      <c r="G8" s="2299"/>
      <c r="H8" s="2299"/>
      <c r="I8" s="2299"/>
      <c r="J8" s="2299"/>
      <c r="K8" s="2299"/>
      <c r="L8" s="2299"/>
      <c r="M8" s="2299"/>
      <c r="N8" s="2299"/>
      <c r="O8" s="2299"/>
      <c r="P8" s="2299"/>
      <c r="Q8" s="2299"/>
      <c r="R8" s="2299"/>
      <c r="S8" s="2299"/>
      <c r="T8" s="2299"/>
      <c r="U8" s="2299"/>
      <c r="V8" s="873"/>
      <c r="W8" s="1364" t="s">
        <v>1753</v>
      </c>
    </row>
    <row r="9" spans="1:31" s="19" customFormat="1" ht="33" customHeight="1">
      <c r="A9" s="1360"/>
      <c r="B9" s="868" t="s">
        <v>1752</v>
      </c>
      <c r="C9" s="871" t="s">
        <v>1745</v>
      </c>
      <c r="D9" s="870">
        <v>104.74</v>
      </c>
      <c r="E9" s="870">
        <v>110.77</v>
      </c>
      <c r="F9" s="872">
        <v>117.13</v>
      </c>
      <c r="G9" s="870">
        <v>127.23</v>
      </c>
      <c r="H9" s="870">
        <v>137.72999999999999</v>
      </c>
      <c r="I9" s="870">
        <v>144.19</v>
      </c>
      <c r="J9" s="870">
        <v>150.91</v>
      </c>
      <c r="K9" s="871">
        <v>155.80000000000001</v>
      </c>
      <c r="L9" s="871">
        <v>165.58</v>
      </c>
      <c r="M9" s="870">
        <v>173</v>
      </c>
      <c r="N9" s="871">
        <v>168.21</v>
      </c>
      <c r="O9" s="870">
        <v>167.5</v>
      </c>
      <c r="P9" s="870">
        <v>169.46</v>
      </c>
      <c r="Q9" s="870">
        <v>173.72</v>
      </c>
      <c r="R9" s="870">
        <v>167.35</v>
      </c>
      <c r="S9" s="870">
        <v>169.58</v>
      </c>
      <c r="T9" s="870">
        <v>176.28</v>
      </c>
      <c r="U9" s="870">
        <v>191</v>
      </c>
      <c r="V9" s="870">
        <v>204.04</v>
      </c>
      <c r="W9" s="1363" t="s">
        <v>1751</v>
      </c>
    </row>
    <row r="10" spans="1:31" s="19" customFormat="1" ht="33" customHeight="1">
      <c r="A10" s="1362"/>
      <c r="B10" s="868" t="s">
        <v>1750</v>
      </c>
      <c r="C10" s="865" t="s">
        <v>1745</v>
      </c>
      <c r="D10" s="866">
        <v>40.19</v>
      </c>
      <c r="E10" s="866">
        <v>41.24</v>
      </c>
      <c r="F10" s="867">
        <v>46.24</v>
      </c>
      <c r="G10" s="866">
        <v>52.04</v>
      </c>
      <c r="H10" s="866">
        <v>55.43</v>
      </c>
      <c r="I10" s="866">
        <v>55.15</v>
      </c>
      <c r="J10" s="866">
        <v>65.06</v>
      </c>
      <c r="K10" s="865">
        <v>72.739999999999995</v>
      </c>
      <c r="L10" s="865">
        <v>80.5</v>
      </c>
      <c r="M10" s="865">
        <v>79.14</v>
      </c>
      <c r="N10" s="865">
        <v>66.53</v>
      </c>
      <c r="O10" s="865">
        <v>56.33</v>
      </c>
      <c r="P10" s="866">
        <v>60.98</v>
      </c>
      <c r="Q10" s="866">
        <v>69.790000000000006</v>
      </c>
      <c r="R10" s="866">
        <v>67.05</v>
      </c>
      <c r="S10" s="866">
        <v>68.540000000000006</v>
      </c>
      <c r="T10" s="866">
        <v>69.680000000000007</v>
      </c>
      <c r="U10" s="866">
        <v>76.62</v>
      </c>
      <c r="V10" s="866">
        <v>89.78</v>
      </c>
      <c r="W10" s="1363" t="s">
        <v>1749</v>
      </c>
    </row>
    <row r="11" spans="1:31" s="19" customFormat="1" ht="33" customHeight="1">
      <c r="A11" s="1362"/>
      <c r="B11" s="868" t="s">
        <v>1748</v>
      </c>
      <c r="C11" s="865" t="s">
        <v>1745</v>
      </c>
      <c r="D11" s="866">
        <v>16.010000000000002</v>
      </c>
      <c r="E11" s="866">
        <v>15.98</v>
      </c>
      <c r="F11" s="867">
        <v>20.6</v>
      </c>
      <c r="G11" s="866">
        <v>24.13</v>
      </c>
      <c r="H11" s="866">
        <v>23.35</v>
      </c>
      <c r="I11" s="866">
        <v>26.36</v>
      </c>
      <c r="J11" s="866">
        <v>33.130000000000003</v>
      </c>
      <c r="K11" s="865">
        <v>36.32</v>
      </c>
      <c r="L11" s="865">
        <v>35.14</v>
      </c>
      <c r="M11" s="865">
        <v>25.76</v>
      </c>
      <c r="N11" s="865">
        <v>20.62</v>
      </c>
      <c r="O11" s="865">
        <v>20.99</v>
      </c>
      <c r="P11" s="866">
        <v>25.32</v>
      </c>
      <c r="Q11" s="866">
        <v>24.02</v>
      </c>
      <c r="R11" s="866">
        <v>25.08</v>
      </c>
      <c r="S11" s="866">
        <v>27.79</v>
      </c>
      <c r="T11" s="866">
        <v>27.79</v>
      </c>
      <c r="U11" s="866">
        <v>26.07</v>
      </c>
      <c r="V11" s="866">
        <v>31.54</v>
      </c>
      <c r="W11" s="1363" t="s">
        <v>1747</v>
      </c>
    </row>
    <row r="12" spans="1:31" s="19" customFormat="1" ht="33" customHeight="1">
      <c r="A12" s="1362"/>
      <c r="B12" s="869" t="s">
        <v>1746</v>
      </c>
      <c r="C12" s="865" t="s">
        <v>1745</v>
      </c>
      <c r="D12" s="866">
        <v>160.94</v>
      </c>
      <c r="E12" s="866">
        <v>167.98999999999998</v>
      </c>
      <c r="F12" s="867">
        <v>183.97</v>
      </c>
      <c r="G12" s="866">
        <v>203.4</v>
      </c>
      <c r="H12" s="866">
        <v>216.51</v>
      </c>
      <c r="I12" s="866">
        <v>225.7</v>
      </c>
      <c r="J12" s="866">
        <v>249.1</v>
      </c>
      <c r="K12" s="866">
        <v>264.86</v>
      </c>
      <c r="L12" s="866">
        <v>281.22000000000003</v>
      </c>
      <c r="M12" s="866">
        <f t="shared" ref="M12:T12" si="0">SUM(M9:M11)</f>
        <v>277.89999999999998</v>
      </c>
      <c r="N12" s="866">
        <f t="shared" si="0"/>
        <v>255.36</v>
      </c>
      <c r="O12" s="866">
        <f t="shared" si="0"/>
        <v>244.82</v>
      </c>
      <c r="P12" s="866">
        <f t="shared" si="0"/>
        <v>255.76</v>
      </c>
      <c r="Q12" s="866">
        <f t="shared" si="0"/>
        <v>267.52999999999997</v>
      </c>
      <c r="R12" s="866">
        <f t="shared" si="0"/>
        <v>259.47999999999996</v>
      </c>
      <c r="S12" s="866">
        <f t="shared" si="0"/>
        <v>265.91000000000003</v>
      </c>
      <c r="T12" s="866">
        <f t="shared" si="0"/>
        <v>273.75</v>
      </c>
      <c r="U12" s="866">
        <v>293.69</v>
      </c>
      <c r="V12" s="866">
        <v>325.36</v>
      </c>
      <c r="W12" s="1365" t="s">
        <v>1744</v>
      </c>
    </row>
    <row r="13" spans="1:31" s="19" customFormat="1" ht="33" customHeight="1">
      <c r="A13" s="1362"/>
      <c r="B13" s="869" t="s">
        <v>1743</v>
      </c>
      <c r="C13" s="865" t="s">
        <v>430</v>
      </c>
      <c r="D13" s="866">
        <v>91.45</v>
      </c>
      <c r="E13" s="866">
        <v>88.05</v>
      </c>
      <c r="F13" s="867">
        <v>94.52</v>
      </c>
      <c r="G13" s="866">
        <v>105.5</v>
      </c>
      <c r="H13" s="866">
        <v>111.76</v>
      </c>
      <c r="I13" s="866">
        <v>115.27</v>
      </c>
      <c r="J13" s="866">
        <v>128</v>
      </c>
      <c r="K13" s="865">
        <v>140</v>
      </c>
      <c r="L13" s="865">
        <v>143</v>
      </c>
      <c r="M13" s="865">
        <v>142.33000000000001</v>
      </c>
      <c r="N13" s="865">
        <v>131.46</v>
      </c>
      <c r="O13" s="865">
        <v>121.83</v>
      </c>
      <c r="P13" s="866">
        <v>128.94</v>
      </c>
      <c r="Q13" s="866">
        <v>135.76</v>
      </c>
      <c r="R13" s="866">
        <v>123.41</v>
      </c>
      <c r="S13" s="867">
        <v>127.55</v>
      </c>
      <c r="T13" s="867">
        <v>132.57</v>
      </c>
      <c r="U13" s="867">
        <v>133.44</v>
      </c>
      <c r="V13" s="867">
        <v>137.15</v>
      </c>
      <c r="W13" s="1365" t="s">
        <v>1742</v>
      </c>
    </row>
    <row r="14" spans="1:31" s="19" customFormat="1" ht="48" customHeight="1">
      <c r="A14" s="1360" t="s">
        <v>1741</v>
      </c>
      <c r="B14" s="868" t="s">
        <v>1740</v>
      </c>
      <c r="C14" s="865" t="s">
        <v>1739</v>
      </c>
      <c r="D14" s="866">
        <v>48.3</v>
      </c>
      <c r="E14" s="866">
        <v>41</v>
      </c>
      <c r="F14" s="867">
        <v>40.67</v>
      </c>
      <c r="G14" s="866">
        <v>39.770000000000003</v>
      </c>
      <c r="H14" s="866">
        <v>43.41</v>
      </c>
      <c r="I14" s="866">
        <v>41.64</v>
      </c>
      <c r="J14" s="866">
        <v>43.86</v>
      </c>
      <c r="K14" s="865">
        <v>41.82</v>
      </c>
      <c r="L14" s="865">
        <v>55.54</v>
      </c>
      <c r="M14" s="865">
        <v>52.98</v>
      </c>
      <c r="N14" s="865">
        <v>45.62</v>
      </c>
      <c r="O14" s="865">
        <v>60.28</v>
      </c>
      <c r="P14" s="865">
        <v>56.27</v>
      </c>
      <c r="Q14" s="865">
        <v>56.72</v>
      </c>
      <c r="R14" s="864">
        <v>58.63</v>
      </c>
      <c r="S14" s="865">
        <v>63.41</v>
      </c>
      <c r="T14" s="864">
        <v>59.67</v>
      </c>
      <c r="U14" s="864">
        <v>61.7</v>
      </c>
      <c r="V14" s="864"/>
      <c r="W14" s="1363" t="s">
        <v>1738</v>
      </c>
    </row>
    <row r="15" spans="1:31" s="19" customFormat="1" ht="12" customHeight="1">
      <c r="A15" s="1366"/>
      <c r="B15" s="1367"/>
      <c r="C15" s="1367"/>
      <c r="D15" s="1368"/>
      <c r="E15" s="1368"/>
      <c r="F15" s="1368"/>
      <c r="G15" s="1369"/>
      <c r="H15" s="1369"/>
      <c r="I15" s="1369"/>
      <c r="J15" s="1369"/>
      <c r="K15" s="1367"/>
      <c r="L15" s="1367"/>
      <c r="M15" s="1367"/>
      <c r="N15" s="1367"/>
      <c r="O15" s="1367"/>
      <c r="P15" s="1367"/>
      <c r="Q15" s="1367"/>
      <c r="R15" s="1367"/>
      <c r="S15" s="1367"/>
      <c r="T15" s="1367"/>
      <c r="U15" s="1367"/>
      <c r="V15" s="1367"/>
      <c r="W15" s="1370"/>
    </row>
    <row r="16" spans="1:31" s="19" customFormat="1" ht="22.5" customHeight="1">
      <c r="A16" s="2295" t="s">
        <v>1737</v>
      </c>
      <c r="B16" s="2296"/>
      <c r="C16" s="2296"/>
      <c r="D16" s="2296"/>
      <c r="E16" s="2296"/>
      <c r="F16" s="2296"/>
      <c r="G16" s="2296"/>
      <c r="H16" s="2296"/>
      <c r="I16" s="2296"/>
      <c r="J16" s="2296"/>
      <c r="K16" s="2296"/>
      <c r="L16" s="2296"/>
      <c r="M16" s="2296"/>
      <c r="N16" s="2296"/>
      <c r="O16" s="2296"/>
      <c r="P16" s="2296"/>
      <c r="Q16" s="2296"/>
      <c r="R16" s="2296"/>
      <c r="S16" s="2296"/>
      <c r="T16" s="2296"/>
      <c r="U16" s="2296"/>
      <c r="V16" s="2296"/>
      <c r="W16" s="2297"/>
    </row>
    <row r="17" spans="1:23" s="19" customFormat="1" ht="22.5" customHeight="1">
      <c r="A17" s="1371" t="s">
        <v>1736</v>
      </c>
      <c r="B17" s="62"/>
      <c r="C17" s="62"/>
      <c r="D17" s="62"/>
      <c r="E17" s="62"/>
      <c r="F17" s="62"/>
      <c r="G17" s="62"/>
      <c r="H17" s="62"/>
      <c r="I17" s="62"/>
      <c r="J17" s="62"/>
      <c r="K17" s="62"/>
      <c r="L17" s="62"/>
      <c r="M17" s="62"/>
      <c r="N17" s="62"/>
      <c r="O17" s="62"/>
      <c r="P17" s="62"/>
      <c r="Q17" s="62"/>
      <c r="R17" s="62"/>
      <c r="S17" s="62"/>
      <c r="T17" s="62"/>
      <c r="U17" s="62"/>
      <c r="V17" s="62"/>
      <c r="W17" s="1372"/>
    </row>
    <row r="18" spans="1:23" ht="16.5" customHeight="1" thickBot="1">
      <c r="A18" s="1373" t="s">
        <v>1735</v>
      </c>
      <c r="B18" s="1374"/>
      <c r="C18" s="1374"/>
      <c r="D18" s="1374"/>
      <c r="E18" s="1374"/>
      <c r="F18" s="1374"/>
      <c r="G18" s="1374"/>
      <c r="H18" s="1374"/>
      <c r="I18" s="1374"/>
      <c r="J18" s="1374"/>
      <c r="K18" s="1374"/>
      <c r="L18" s="1374"/>
      <c r="M18" s="1374"/>
      <c r="N18" s="1374"/>
      <c r="O18" s="1374"/>
      <c r="P18" s="1374"/>
      <c r="Q18" s="1374"/>
      <c r="R18" s="1374"/>
      <c r="S18" s="1374"/>
      <c r="T18" s="1374"/>
      <c r="U18" s="1374"/>
      <c r="V18" s="1374"/>
      <c r="W18" s="1375" t="s">
        <v>1734</v>
      </c>
    </row>
    <row r="19" spans="1:23" ht="15.75" thickTop="1"/>
    <row r="24" spans="1:23">
      <c r="N24"/>
    </row>
    <row r="25" spans="1:23">
      <c r="W25"/>
    </row>
    <row r="35" spans="12:12">
      <c r="L35" s="1"/>
    </row>
  </sheetData>
  <mergeCells count="5">
    <mergeCell ref="A1:W1"/>
    <mergeCell ref="A2:W2"/>
    <mergeCell ref="A16:W16"/>
    <mergeCell ref="C8:U8"/>
    <mergeCell ref="C4:U4"/>
  </mergeCells>
  <conditionalFormatting sqref="Y3:XFD14 A3:W3">
    <cfRule type="expression" dxfId="48" priority="2">
      <formula>MOD(ROW(),3)=1</formula>
    </cfRule>
  </conditionalFormatting>
  <conditionalFormatting sqref="A4:W14">
    <cfRule type="expression" dxfId="47" priority="1">
      <formula>MOD(ROW(),3)=1</formula>
    </cfRule>
  </conditionalFormatting>
  <printOptions horizontalCentered="1"/>
  <pageMargins left="0.66929133858267698" right="0.15748031496063" top="0.55118110236220497" bottom="0.74803149606299202" header="0.31496062992126" footer="0.31496062992126"/>
  <pageSetup paperSize="9" scale="87" fitToWidth="0" fitToHeight="0" orientation="landscape" r:id="rId1"/>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38409-2604-4273-AECB-10E9496171AE}">
  <dimension ref="A1:BA42"/>
  <sheetViews>
    <sheetView view="pageBreakPreview" topLeftCell="AQ1" zoomScaleSheetLayoutView="100" workbookViewId="0">
      <selection activeCell="S17" sqref="S17"/>
    </sheetView>
  </sheetViews>
  <sheetFormatPr defaultColWidth="9.140625" defaultRowHeight="15"/>
  <cols>
    <col min="1" max="1" width="6.85546875" style="1" hidden="1" customWidth="1"/>
    <col min="2" max="2" width="20.5703125" style="1" hidden="1" customWidth="1"/>
    <col min="3" max="9" width="15" style="1" hidden="1" customWidth="1"/>
    <col min="10" max="10" width="20.7109375" style="1" hidden="1" customWidth="1"/>
    <col min="11" max="11" width="6.85546875" style="1" hidden="1" customWidth="1"/>
    <col min="12" max="12" width="27" style="1" hidden="1" customWidth="1"/>
    <col min="13" max="19" width="18.42578125" style="1" hidden="1" customWidth="1"/>
    <col min="20" max="20" width="28.28515625" style="1" hidden="1" customWidth="1"/>
    <col min="21" max="21" width="0" style="1" hidden="1" customWidth="1"/>
    <col min="22" max="22" width="18" style="451" hidden="1" customWidth="1"/>
    <col min="23" max="30" width="14.7109375" style="1" hidden="1" customWidth="1"/>
    <col min="31" max="31" width="19.28515625" style="451" hidden="1" customWidth="1"/>
    <col min="32" max="32" width="0" style="491" hidden="1" customWidth="1"/>
    <col min="33" max="33" width="22" style="451" hidden="1" customWidth="1"/>
    <col min="34" max="41" width="14.7109375" style="1" hidden="1" customWidth="1"/>
    <col min="42" max="42" width="20.7109375" style="451" hidden="1" customWidth="1"/>
    <col min="43" max="43" width="9.140625" style="1"/>
    <col min="44" max="44" width="21.85546875" style="1" customWidth="1"/>
    <col min="45" max="50" width="12.7109375" style="1" customWidth="1"/>
    <col min="51" max="51" width="13.85546875" style="1" customWidth="1"/>
    <col min="52" max="52" width="17.42578125" style="1" customWidth="1"/>
    <col min="53" max="53" width="18.42578125" style="1" customWidth="1"/>
    <col min="54" max="16384" width="9.140625" style="1"/>
  </cols>
  <sheetData>
    <row r="1" spans="1:53" s="41" customFormat="1" ht="16.5" thickTop="1">
      <c r="A1" s="2192" t="s">
        <v>1846</v>
      </c>
      <c r="B1" s="2192"/>
      <c r="C1" s="2192"/>
      <c r="D1" s="2192"/>
      <c r="E1" s="2192"/>
      <c r="F1" s="2192"/>
      <c r="G1" s="2192"/>
      <c r="H1" s="2192"/>
      <c r="I1" s="2192"/>
      <c r="L1" s="2192" t="s">
        <v>1845</v>
      </c>
      <c r="M1" s="2192"/>
      <c r="N1" s="2192"/>
      <c r="O1" s="2192"/>
      <c r="P1" s="2192"/>
      <c r="Q1" s="2192"/>
      <c r="R1" s="2192"/>
      <c r="S1" s="2192"/>
      <c r="T1" s="2192"/>
      <c r="U1" s="2308" t="s">
        <v>1844</v>
      </c>
      <c r="V1" s="2308"/>
      <c r="W1" s="2308"/>
      <c r="X1" s="2308"/>
      <c r="Y1" s="2308"/>
      <c r="Z1" s="2308"/>
      <c r="AA1" s="2308"/>
      <c r="AB1" s="2308"/>
      <c r="AC1" s="2308"/>
      <c r="AD1" s="2308"/>
      <c r="AE1" s="2308"/>
      <c r="AF1" s="2308" t="s">
        <v>1843</v>
      </c>
      <c r="AG1" s="2308"/>
      <c r="AH1" s="2308"/>
      <c r="AI1" s="2308"/>
      <c r="AJ1" s="2308"/>
      <c r="AK1" s="2308"/>
      <c r="AL1" s="2308"/>
      <c r="AM1" s="2308"/>
      <c r="AN1" s="2308"/>
      <c r="AO1" s="2308"/>
      <c r="AP1" s="2308"/>
      <c r="AQ1" s="2229" t="s">
        <v>2784</v>
      </c>
      <c r="AR1" s="2303"/>
      <c r="AS1" s="2303"/>
      <c r="AT1" s="2303"/>
      <c r="AU1" s="2303"/>
      <c r="AV1" s="2303"/>
      <c r="AW1" s="2303"/>
      <c r="AX1" s="2303"/>
      <c r="AY1" s="2303"/>
      <c r="AZ1" s="2303"/>
      <c r="BA1" s="2304"/>
    </row>
    <row r="2" spans="1:53" s="41" customFormat="1" ht="15.75">
      <c r="A2" s="2302" t="s">
        <v>1842</v>
      </c>
      <c r="B2" s="2302"/>
      <c r="C2" s="2302"/>
      <c r="D2" s="2302"/>
      <c r="E2" s="2302"/>
      <c r="F2" s="2302"/>
      <c r="G2" s="2302"/>
      <c r="H2" s="2302"/>
      <c r="I2" s="2302"/>
      <c r="J2" s="2302"/>
      <c r="K2" s="382"/>
      <c r="L2" s="2192" t="s">
        <v>1841</v>
      </c>
      <c r="M2" s="2192"/>
      <c r="N2" s="2192"/>
      <c r="O2" s="2192"/>
      <c r="P2" s="2192"/>
      <c r="Q2" s="2192"/>
      <c r="R2" s="2192"/>
      <c r="S2" s="2192"/>
      <c r="T2" s="2192"/>
      <c r="U2" s="2308" t="s">
        <v>1840</v>
      </c>
      <c r="V2" s="2308"/>
      <c r="W2" s="2308"/>
      <c r="X2" s="2308"/>
      <c r="Y2" s="2308"/>
      <c r="Z2" s="2308"/>
      <c r="AA2" s="2308"/>
      <c r="AB2" s="2308"/>
      <c r="AC2" s="2308"/>
      <c r="AD2" s="2308"/>
      <c r="AE2" s="2308"/>
      <c r="AF2" s="2308" t="s">
        <v>1839</v>
      </c>
      <c r="AG2" s="2308"/>
      <c r="AH2" s="2308"/>
      <c r="AI2" s="2308"/>
      <c r="AJ2" s="2308"/>
      <c r="AK2" s="2308"/>
      <c r="AL2" s="2308"/>
      <c r="AM2" s="2308"/>
      <c r="AN2" s="2308"/>
      <c r="AO2" s="2308"/>
      <c r="AP2" s="2308"/>
      <c r="AQ2" s="2305" t="s">
        <v>2785</v>
      </c>
      <c r="AR2" s="2306"/>
      <c r="AS2" s="2306"/>
      <c r="AT2" s="2306"/>
      <c r="AU2" s="2306"/>
      <c r="AV2" s="2306"/>
      <c r="AW2" s="2306"/>
      <c r="AX2" s="2306"/>
      <c r="AY2" s="2306"/>
      <c r="AZ2" s="2306"/>
      <c r="BA2" s="2307"/>
    </row>
    <row r="3" spans="1:53" s="7" customFormat="1">
      <c r="A3" s="112"/>
      <c r="B3" s="112"/>
      <c r="C3" s="112"/>
      <c r="D3" s="112"/>
      <c r="E3" s="112"/>
      <c r="F3" s="112"/>
      <c r="G3" s="112"/>
      <c r="H3" s="112"/>
      <c r="I3" s="112"/>
      <c r="J3" s="32" t="s">
        <v>1838</v>
      </c>
      <c r="K3" s="112"/>
      <c r="L3" s="112"/>
      <c r="N3" s="112"/>
      <c r="O3" s="112"/>
      <c r="P3" s="112"/>
      <c r="Q3" s="112"/>
      <c r="R3" s="112"/>
      <c r="S3" s="112"/>
      <c r="T3" s="112" t="s">
        <v>1837</v>
      </c>
      <c r="AE3" s="112" t="s">
        <v>1836</v>
      </c>
      <c r="AP3" s="112" t="s">
        <v>1835</v>
      </c>
      <c r="AQ3" s="1136"/>
      <c r="BA3" s="916" t="s">
        <v>1834</v>
      </c>
    </row>
    <row r="4" spans="1:53" s="87" customFormat="1" ht="109.5" customHeight="1">
      <c r="A4" s="79" t="s">
        <v>520</v>
      </c>
      <c r="B4" s="80" t="s">
        <v>49</v>
      </c>
      <c r="C4" s="79" t="s">
        <v>1833</v>
      </c>
      <c r="D4" s="79" t="s">
        <v>1832</v>
      </c>
      <c r="E4" s="79" t="s">
        <v>1831</v>
      </c>
      <c r="F4" s="79" t="s">
        <v>1827</v>
      </c>
      <c r="G4" s="79" t="s">
        <v>1830</v>
      </c>
      <c r="H4" s="79" t="s">
        <v>1829</v>
      </c>
      <c r="I4" s="79" t="s">
        <v>1828</v>
      </c>
      <c r="J4" s="80" t="s">
        <v>141</v>
      </c>
      <c r="K4" s="79" t="s">
        <v>520</v>
      </c>
      <c r="L4" s="79" t="s">
        <v>1339</v>
      </c>
      <c r="M4" s="79" t="s">
        <v>1827</v>
      </c>
      <c r="N4" s="79" t="s">
        <v>1826</v>
      </c>
      <c r="O4" s="79" t="s">
        <v>1825</v>
      </c>
      <c r="P4" s="79" t="s">
        <v>1824</v>
      </c>
      <c r="Q4" s="79" t="s">
        <v>1823</v>
      </c>
      <c r="R4" s="79" t="s">
        <v>1822</v>
      </c>
      <c r="S4" s="79" t="s">
        <v>1821</v>
      </c>
      <c r="T4" s="80" t="s">
        <v>141</v>
      </c>
      <c r="U4" s="915" t="s">
        <v>520</v>
      </c>
      <c r="V4" s="914" t="s">
        <v>49</v>
      </c>
      <c r="W4" s="915" t="s">
        <v>1820</v>
      </c>
      <c r="X4" s="915" t="s">
        <v>1819</v>
      </c>
      <c r="Y4" s="915" t="s">
        <v>1818</v>
      </c>
      <c r="Z4" s="915" t="s">
        <v>1817</v>
      </c>
      <c r="AA4" s="915" t="s">
        <v>1809</v>
      </c>
      <c r="AB4" s="915" t="s">
        <v>1816</v>
      </c>
      <c r="AC4" s="915" t="s">
        <v>1815</v>
      </c>
      <c r="AD4" s="915" t="s">
        <v>1814</v>
      </c>
      <c r="AE4" s="914" t="s">
        <v>141</v>
      </c>
      <c r="AF4" s="912" t="s">
        <v>520</v>
      </c>
      <c r="AG4" s="910" t="s">
        <v>49</v>
      </c>
      <c r="AH4" s="911" t="s">
        <v>1820</v>
      </c>
      <c r="AI4" s="911" t="s">
        <v>1819</v>
      </c>
      <c r="AJ4" s="911" t="s">
        <v>1818</v>
      </c>
      <c r="AK4" s="911" t="s">
        <v>1817</v>
      </c>
      <c r="AL4" s="911" t="s">
        <v>1809</v>
      </c>
      <c r="AM4" s="911" t="s">
        <v>1816</v>
      </c>
      <c r="AN4" s="911" t="s">
        <v>1815</v>
      </c>
      <c r="AO4" s="911" t="s">
        <v>1814</v>
      </c>
      <c r="AP4" s="913" t="s">
        <v>141</v>
      </c>
      <c r="AQ4" s="1709" t="s">
        <v>688</v>
      </c>
      <c r="AR4" s="1710" t="s">
        <v>141</v>
      </c>
      <c r="AS4" s="1711" t="s">
        <v>1813</v>
      </c>
      <c r="AT4" s="1712" t="s">
        <v>1812</v>
      </c>
      <c r="AU4" s="1712" t="s">
        <v>1811</v>
      </c>
      <c r="AV4" s="1712" t="s">
        <v>1810</v>
      </c>
      <c r="AW4" s="1712" t="s">
        <v>1809</v>
      </c>
      <c r="AX4" s="1712" t="s">
        <v>1808</v>
      </c>
      <c r="AY4" s="1712" t="s">
        <v>1807</v>
      </c>
      <c r="AZ4" s="1712" t="s">
        <v>1806</v>
      </c>
      <c r="BA4" s="1713" t="s">
        <v>49</v>
      </c>
    </row>
    <row r="5" spans="1:53">
      <c r="A5" s="2">
        <v>1</v>
      </c>
      <c r="B5" s="792" t="s">
        <v>1343</v>
      </c>
      <c r="C5" s="902">
        <v>68.099999999999994</v>
      </c>
      <c r="D5" s="902">
        <v>0.39</v>
      </c>
      <c r="E5" s="902">
        <v>25.9</v>
      </c>
      <c r="F5" s="902"/>
      <c r="G5" s="902">
        <v>1.54</v>
      </c>
      <c r="H5" s="902"/>
      <c r="I5" s="902">
        <f t="shared" ref="I5:I36" si="0">SUM(C5:H5)</f>
        <v>95.929999999999993</v>
      </c>
      <c r="J5" s="792" t="s">
        <v>1805</v>
      </c>
      <c r="K5" s="2">
        <v>1</v>
      </c>
      <c r="L5" s="792" t="s">
        <v>1343</v>
      </c>
      <c r="M5" s="3">
        <v>99.8</v>
      </c>
      <c r="N5" s="3">
        <v>2.48</v>
      </c>
      <c r="O5" s="3">
        <v>28.1</v>
      </c>
      <c r="P5" s="3">
        <v>11.98</v>
      </c>
      <c r="Q5" s="3">
        <v>0.05</v>
      </c>
      <c r="R5" s="461">
        <v>59.4</v>
      </c>
      <c r="S5" s="4">
        <v>201.81</v>
      </c>
      <c r="T5" s="792" t="s">
        <v>1805</v>
      </c>
      <c r="U5" s="892">
        <v>1</v>
      </c>
      <c r="V5" s="897" t="s">
        <v>1343</v>
      </c>
      <c r="W5" s="901"/>
      <c r="X5" s="901">
        <v>787.45</v>
      </c>
      <c r="Y5" s="901">
        <v>390</v>
      </c>
      <c r="Z5" s="901">
        <v>0</v>
      </c>
      <c r="AA5" s="901">
        <v>70</v>
      </c>
      <c r="AB5" s="901">
        <v>16000</v>
      </c>
      <c r="AC5" s="901">
        <v>62000</v>
      </c>
      <c r="AD5" s="901">
        <f>SUM(X5:AC5)</f>
        <v>79247.45</v>
      </c>
      <c r="AE5" s="897" t="s">
        <v>1805</v>
      </c>
      <c r="AF5" s="892">
        <v>1</v>
      </c>
      <c r="AG5" s="897" t="s">
        <v>1343</v>
      </c>
      <c r="AH5" s="901">
        <v>15</v>
      </c>
      <c r="AI5" s="901">
        <v>4620</v>
      </c>
      <c r="AJ5" s="901">
        <v>867</v>
      </c>
      <c r="AK5" s="901">
        <v>0</v>
      </c>
      <c r="AL5" s="901">
        <v>0</v>
      </c>
      <c r="AM5" s="901">
        <v>16025</v>
      </c>
      <c r="AN5" s="901">
        <v>7870205</v>
      </c>
      <c r="AO5" s="901">
        <f t="shared" ref="AO5:AO16" si="1">SUM(AH5:AN5)</f>
        <v>7891732</v>
      </c>
      <c r="AP5" s="900" t="s">
        <v>1805</v>
      </c>
      <c r="AQ5" s="1376">
        <v>1</v>
      </c>
      <c r="AR5" s="897" t="s">
        <v>1805</v>
      </c>
      <c r="AS5" s="899"/>
      <c r="AT5" s="898">
        <v>8.02</v>
      </c>
      <c r="AU5" s="898">
        <v>336</v>
      </c>
      <c r="AV5" s="898"/>
      <c r="AW5" s="898">
        <v>88.5</v>
      </c>
      <c r="AX5" s="898"/>
      <c r="AY5" s="898"/>
      <c r="AZ5" s="898">
        <f>SUM(AS5+AT5+AU5+AV5+AW5+AX5+AY5)</f>
        <v>432.52</v>
      </c>
      <c r="BA5" s="1377" t="s">
        <v>1343</v>
      </c>
    </row>
    <row r="6" spans="1:53">
      <c r="A6" s="2">
        <v>2</v>
      </c>
      <c r="B6" s="792" t="s">
        <v>15</v>
      </c>
      <c r="C6" s="902">
        <v>0.91</v>
      </c>
      <c r="D6" s="902">
        <v>0.25</v>
      </c>
      <c r="E6" s="902"/>
      <c r="F6" s="902">
        <v>0.05</v>
      </c>
      <c r="G6" s="902">
        <v>0.66</v>
      </c>
      <c r="H6" s="902">
        <v>7.3999999999999996E-2</v>
      </c>
      <c r="I6" s="902">
        <f t="shared" si="0"/>
        <v>1.9440000000000002</v>
      </c>
      <c r="J6" s="792" t="s">
        <v>145</v>
      </c>
      <c r="K6" s="2">
        <v>2</v>
      </c>
      <c r="L6" s="792" t="s">
        <v>15</v>
      </c>
      <c r="M6" s="461">
        <v>1.6</v>
      </c>
      <c r="N6" s="461">
        <v>0.35</v>
      </c>
      <c r="O6" s="461" t="s">
        <v>47</v>
      </c>
      <c r="P6" s="3">
        <v>1.89</v>
      </c>
      <c r="Q6" s="3">
        <v>0.04</v>
      </c>
      <c r="R6" s="461">
        <v>1.56</v>
      </c>
      <c r="S6" s="4">
        <v>5.44</v>
      </c>
      <c r="T6" s="792" t="s">
        <v>145</v>
      </c>
      <c r="U6" s="892">
        <v>2</v>
      </c>
      <c r="V6" s="897" t="s">
        <v>15</v>
      </c>
      <c r="W6" s="901"/>
      <c r="X6" s="901"/>
      <c r="Y6" s="901"/>
      <c r="Z6" s="901"/>
      <c r="AA6" s="901"/>
      <c r="AB6" s="901"/>
      <c r="AC6" s="901"/>
      <c r="AD6" s="901"/>
      <c r="AE6" s="897" t="s">
        <v>145</v>
      </c>
      <c r="AF6" s="892">
        <v>2</v>
      </c>
      <c r="AG6" s="897" t="s">
        <v>15</v>
      </c>
      <c r="AH6" s="901">
        <v>0</v>
      </c>
      <c r="AI6" s="901">
        <v>2050</v>
      </c>
      <c r="AJ6" s="901">
        <v>0</v>
      </c>
      <c r="AK6" s="901">
        <v>0</v>
      </c>
      <c r="AL6" s="901">
        <v>0</v>
      </c>
      <c r="AM6" s="901"/>
      <c r="AN6" s="901"/>
      <c r="AO6" s="901">
        <f t="shared" si="1"/>
        <v>2050</v>
      </c>
      <c r="AP6" s="900" t="s">
        <v>145</v>
      </c>
      <c r="AQ6" s="1376">
        <v>2</v>
      </c>
      <c r="AR6" s="897" t="s">
        <v>145</v>
      </c>
      <c r="AS6" s="899"/>
      <c r="AT6" s="898"/>
      <c r="AU6" s="898"/>
      <c r="AV6" s="898"/>
      <c r="AW6" s="898"/>
      <c r="AX6" s="898"/>
      <c r="AY6" s="898"/>
      <c r="AZ6" s="898"/>
      <c r="BA6" s="1377" t="s">
        <v>15</v>
      </c>
    </row>
    <row r="7" spans="1:53">
      <c r="A7" s="2">
        <v>3</v>
      </c>
      <c r="B7" s="792" t="s">
        <v>21</v>
      </c>
      <c r="C7" s="902" t="s">
        <v>47</v>
      </c>
      <c r="D7" s="902">
        <v>90.56</v>
      </c>
      <c r="E7" s="902"/>
      <c r="F7" s="902"/>
      <c r="G7" s="902">
        <v>93.6</v>
      </c>
      <c r="H7" s="902">
        <v>2.12</v>
      </c>
      <c r="I7" s="902">
        <f t="shared" si="0"/>
        <v>186.28</v>
      </c>
      <c r="J7" s="792" t="s">
        <v>146</v>
      </c>
      <c r="K7" s="2">
        <v>3</v>
      </c>
      <c r="L7" s="792" t="s">
        <v>21</v>
      </c>
      <c r="M7" s="3" t="s">
        <v>47</v>
      </c>
      <c r="N7" s="3">
        <v>98.4</v>
      </c>
      <c r="O7" s="3" t="s">
        <v>47</v>
      </c>
      <c r="P7" s="3">
        <v>98.6</v>
      </c>
      <c r="Q7" s="3">
        <v>0.01</v>
      </c>
      <c r="R7" s="461">
        <v>3.24</v>
      </c>
      <c r="S7" s="4">
        <v>200.25</v>
      </c>
      <c r="T7" s="792" t="s">
        <v>146</v>
      </c>
      <c r="U7" s="892">
        <v>3</v>
      </c>
      <c r="V7" s="897" t="s">
        <v>21</v>
      </c>
      <c r="W7" s="901"/>
      <c r="X7" s="901"/>
      <c r="Y7" s="901"/>
      <c r="Z7" s="901"/>
      <c r="AA7" s="901"/>
      <c r="AB7" s="901"/>
      <c r="AC7" s="901"/>
      <c r="AD7" s="901"/>
      <c r="AE7" s="897" t="s">
        <v>146</v>
      </c>
      <c r="AF7" s="892">
        <v>3</v>
      </c>
      <c r="AG7" s="897" t="s">
        <v>21</v>
      </c>
      <c r="AH7" s="901">
        <v>168</v>
      </c>
      <c r="AI7" s="901">
        <v>2000</v>
      </c>
      <c r="AJ7" s="901">
        <v>86874.52</v>
      </c>
      <c r="AK7" s="901">
        <v>310</v>
      </c>
      <c r="AL7" s="901">
        <v>220</v>
      </c>
      <c r="AM7" s="901">
        <v>102500</v>
      </c>
      <c r="AN7" s="901">
        <v>250000</v>
      </c>
      <c r="AO7" s="901">
        <f t="shared" si="1"/>
        <v>442072.52</v>
      </c>
      <c r="AP7" s="900" t="s">
        <v>146</v>
      </c>
      <c r="AQ7" s="1376">
        <v>3</v>
      </c>
      <c r="AR7" s="897" t="s">
        <v>146</v>
      </c>
      <c r="AS7" s="899">
        <v>2350</v>
      </c>
      <c r="AT7" s="898">
        <v>49100</v>
      </c>
      <c r="AU7" s="898">
        <v>107731.22</v>
      </c>
      <c r="AV7" s="898">
        <v>1702</v>
      </c>
      <c r="AW7" s="898">
        <v>803.6</v>
      </c>
      <c r="AX7" s="898">
        <v>1312</v>
      </c>
      <c r="AY7" s="898">
        <v>11945</v>
      </c>
      <c r="AZ7" s="898">
        <f t="shared" ref="AZ7:AZ14" si="2">SUM(AS7+AT7+AU7+AV7+AW7+AX7+AY7)</f>
        <v>174943.82</v>
      </c>
      <c r="BA7" s="1377" t="s">
        <v>21</v>
      </c>
    </row>
    <row r="8" spans="1:53">
      <c r="A8" s="2">
        <v>4</v>
      </c>
      <c r="B8" s="792" t="s">
        <v>22</v>
      </c>
      <c r="C8" s="902">
        <v>12.3</v>
      </c>
      <c r="D8" s="902">
        <v>910</v>
      </c>
      <c r="E8" s="902">
        <v>0.38</v>
      </c>
      <c r="F8" s="902">
        <v>7.69</v>
      </c>
      <c r="G8" s="902">
        <v>9.14</v>
      </c>
      <c r="H8" s="902" t="s">
        <v>47</v>
      </c>
      <c r="I8" s="902">
        <f t="shared" si="0"/>
        <v>939.51</v>
      </c>
      <c r="J8" s="792" t="s">
        <v>147</v>
      </c>
      <c r="K8" s="2">
        <v>4</v>
      </c>
      <c r="L8" s="792" t="s">
        <v>22</v>
      </c>
      <c r="M8" s="461">
        <v>23.1</v>
      </c>
      <c r="N8" s="461">
        <v>942</v>
      </c>
      <c r="O8" s="461">
        <v>1.45</v>
      </c>
      <c r="P8" s="3">
        <v>18.399999999999999</v>
      </c>
      <c r="Q8" s="3">
        <v>1.1100000000000001</v>
      </c>
      <c r="R8" s="461">
        <v>11.1</v>
      </c>
      <c r="S8" s="4">
        <v>997.16</v>
      </c>
      <c r="T8" s="792" t="s">
        <v>147</v>
      </c>
      <c r="U8" s="892">
        <v>4</v>
      </c>
      <c r="V8" s="897" t="s">
        <v>22</v>
      </c>
      <c r="W8" s="901">
        <v>0</v>
      </c>
      <c r="X8" s="901">
        <v>26965</v>
      </c>
      <c r="Y8" s="901">
        <v>110090</v>
      </c>
      <c r="Z8" s="901">
        <v>0</v>
      </c>
      <c r="AA8" s="901">
        <v>0</v>
      </c>
      <c r="AB8" s="901"/>
      <c r="AC8" s="901"/>
      <c r="AD8" s="901">
        <f>SUM(W8:AC8)</f>
        <v>137055</v>
      </c>
      <c r="AE8" s="897" t="s">
        <v>147</v>
      </c>
      <c r="AF8" s="892">
        <v>4</v>
      </c>
      <c r="AG8" s="897" t="s">
        <v>22</v>
      </c>
      <c r="AH8" s="901">
        <v>0</v>
      </c>
      <c r="AI8" s="901">
        <v>42743.9</v>
      </c>
      <c r="AJ8" s="901">
        <v>76107.02</v>
      </c>
      <c r="AK8" s="901">
        <v>0</v>
      </c>
      <c r="AL8" s="901">
        <v>0</v>
      </c>
      <c r="AM8" s="901"/>
      <c r="AN8" s="901"/>
      <c r="AO8" s="901">
        <f t="shared" si="1"/>
        <v>118850.92000000001</v>
      </c>
      <c r="AP8" s="900" t="s">
        <v>147</v>
      </c>
      <c r="AQ8" s="1376">
        <v>4</v>
      </c>
      <c r="AR8" s="897" t="s">
        <v>147</v>
      </c>
      <c r="AS8" s="899"/>
      <c r="AT8" s="898">
        <v>29215.1</v>
      </c>
      <c r="AU8" s="898">
        <v>75556.95</v>
      </c>
      <c r="AV8" s="898"/>
      <c r="AW8" s="898"/>
      <c r="AX8" s="898"/>
      <c r="AY8" s="898"/>
      <c r="AZ8" s="898">
        <f t="shared" si="2"/>
        <v>104772.04999999999</v>
      </c>
      <c r="BA8" s="1377" t="s">
        <v>22</v>
      </c>
    </row>
    <row r="9" spans="1:53">
      <c r="A9" s="2">
        <v>5</v>
      </c>
      <c r="B9" s="792" t="s">
        <v>857</v>
      </c>
      <c r="C9" s="902">
        <v>12.1</v>
      </c>
      <c r="D9" s="902">
        <v>43.1</v>
      </c>
      <c r="E9" s="902">
        <v>16.899999999999999</v>
      </c>
      <c r="F9" s="902" t="s">
        <v>47</v>
      </c>
      <c r="G9" s="902">
        <v>3.11</v>
      </c>
      <c r="H9" s="902">
        <v>55.4</v>
      </c>
      <c r="I9" s="902">
        <f t="shared" si="0"/>
        <v>130.60999999999999</v>
      </c>
      <c r="J9" s="792" t="s">
        <v>1804</v>
      </c>
      <c r="K9" s="2">
        <v>5</v>
      </c>
      <c r="L9" s="792" t="s">
        <v>857</v>
      </c>
      <c r="M9" s="461">
        <v>25.6</v>
      </c>
      <c r="N9" s="461">
        <v>51.1</v>
      </c>
      <c r="O9" s="461">
        <v>19.399999999999999</v>
      </c>
      <c r="P9" s="461">
        <v>14.15</v>
      </c>
      <c r="Q9" s="461">
        <v>0.05</v>
      </c>
      <c r="R9" s="461">
        <v>58.9</v>
      </c>
      <c r="S9" s="4">
        <v>169.2</v>
      </c>
      <c r="T9" s="792" t="s">
        <v>1804</v>
      </c>
      <c r="U9" s="892">
        <v>5</v>
      </c>
      <c r="V9" s="897" t="s">
        <v>857</v>
      </c>
      <c r="W9" s="901">
        <v>1000</v>
      </c>
      <c r="X9" s="901">
        <v>1484</v>
      </c>
      <c r="Y9" s="901">
        <v>1050</v>
      </c>
      <c r="Z9" s="901">
        <v>2662.2</v>
      </c>
      <c r="AA9" s="901">
        <v>0</v>
      </c>
      <c r="AB9" s="901"/>
      <c r="AC9" s="901"/>
      <c r="AD9" s="901">
        <f>SUM(W9:AC9)</f>
        <v>6196.2</v>
      </c>
      <c r="AE9" s="897" t="s">
        <v>1804</v>
      </c>
      <c r="AF9" s="892">
        <v>5</v>
      </c>
      <c r="AG9" s="897" t="s">
        <v>857</v>
      </c>
      <c r="AH9" s="901">
        <v>2527</v>
      </c>
      <c r="AI9" s="901">
        <v>882452</v>
      </c>
      <c r="AJ9" s="901">
        <v>348280</v>
      </c>
      <c r="AK9" s="901">
        <v>2722.05</v>
      </c>
      <c r="AL9" s="901">
        <v>0</v>
      </c>
      <c r="AM9" s="901">
        <v>522121</v>
      </c>
      <c r="AN9" s="901">
        <v>1052801</v>
      </c>
      <c r="AO9" s="901">
        <f t="shared" si="1"/>
        <v>2810903.05</v>
      </c>
      <c r="AP9" s="900" t="s">
        <v>1804</v>
      </c>
      <c r="AQ9" s="1376">
        <v>5</v>
      </c>
      <c r="AR9" s="897" t="s">
        <v>1804</v>
      </c>
      <c r="AS9" s="899">
        <v>3998</v>
      </c>
      <c r="AT9" s="898">
        <v>829643</v>
      </c>
      <c r="AU9" s="898">
        <v>76150.460000000006</v>
      </c>
      <c r="AV9" s="898"/>
      <c r="AW9" s="898"/>
      <c r="AX9" s="898">
        <v>515333</v>
      </c>
      <c r="AY9" s="898">
        <v>1002801</v>
      </c>
      <c r="AZ9" s="898">
        <f t="shared" si="2"/>
        <v>2427925.46</v>
      </c>
      <c r="BA9" s="1377" t="s">
        <v>857</v>
      </c>
    </row>
    <row r="10" spans="1:53">
      <c r="A10" s="2">
        <v>6</v>
      </c>
      <c r="B10" s="792" t="s">
        <v>24</v>
      </c>
      <c r="C10" s="902"/>
      <c r="D10" s="902"/>
      <c r="E10" s="902"/>
      <c r="F10" s="902"/>
      <c r="G10" s="902"/>
      <c r="H10" s="902">
        <v>1.6</v>
      </c>
      <c r="I10" s="902">
        <f t="shared" si="0"/>
        <v>1.6</v>
      </c>
      <c r="J10" s="792" t="s">
        <v>149</v>
      </c>
      <c r="K10" s="2">
        <v>6</v>
      </c>
      <c r="L10" s="792" t="s">
        <v>24</v>
      </c>
      <c r="M10" s="3" t="s">
        <v>47</v>
      </c>
      <c r="N10" s="3" t="s">
        <v>47</v>
      </c>
      <c r="O10" s="3" t="s">
        <v>47</v>
      </c>
      <c r="P10" s="3" t="s">
        <v>47</v>
      </c>
      <c r="Q10" s="3" t="s">
        <v>47</v>
      </c>
      <c r="R10" s="461">
        <v>2.1</v>
      </c>
      <c r="S10" s="4">
        <v>2.1</v>
      </c>
      <c r="T10" s="792" t="s">
        <v>149</v>
      </c>
      <c r="U10" s="892">
        <v>6</v>
      </c>
      <c r="V10" s="897" t="s">
        <v>24</v>
      </c>
      <c r="W10" s="901">
        <v>3686.91</v>
      </c>
      <c r="X10" s="901">
        <v>27.21</v>
      </c>
      <c r="Y10" s="901">
        <v>293</v>
      </c>
      <c r="Z10" s="901">
        <v>0</v>
      </c>
      <c r="AA10" s="901">
        <v>0</v>
      </c>
      <c r="AB10" s="901"/>
      <c r="AC10" s="901"/>
      <c r="AD10" s="901">
        <f>SUM(W10:AA10)</f>
        <v>4007.12</v>
      </c>
      <c r="AE10" s="897" t="s">
        <v>149</v>
      </c>
      <c r="AF10" s="892">
        <v>6</v>
      </c>
      <c r="AG10" s="897" t="s">
        <v>24</v>
      </c>
      <c r="AH10" s="901">
        <v>16486</v>
      </c>
      <c r="AI10" s="901">
        <v>190</v>
      </c>
      <c r="AJ10" s="901">
        <v>408</v>
      </c>
      <c r="AK10" s="901"/>
      <c r="AL10" s="901"/>
      <c r="AM10" s="901"/>
      <c r="AN10" s="901"/>
      <c r="AO10" s="901">
        <f t="shared" si="1"/>
        <v>17084</v>
      </c>
      <c r="AP10" s="900" t="s">
        <v>149</v>
      </c>
      <c r="AQ10" s="1376">
        <v>6</v>
      </c>
      <c r="AR10" s="897" t="s">
        <v>149</v>
      </c>
      <c r="AS10" s="899">
        <v>21677</v>
      </c>
      <c r="AT10" s="898">
        <v>269</v>
      </c>
      <c r="AU10" s="898">
        <v>1098</v>
      </c>
      <c r="AV10" s="898"/>
      <c r="AW10" s="898"/>
      <c r="AX10" s="898"/>
      <c r="AY10" s="898"/>
      <c r="AZ10" s="898">
        <f t="shared" si="2"/>
        <v>23044</v>
      </c>
      <c r="BA10" s="1377" t="s">
        <v>24</v>
      </c>
    </row>
    <row r="11" spans="1:53">
      <c r="A11" s="2">
        <v>7</v>
      </c>
      <c r="B11" s="792" t="s">
        <v>1802</v>
      </c>
      <c r="C11" s="902">
        <v>4.1000000000000002E-2</v>
      </c>
      <c r="D11" s="902" t="s">
        <v>47</v>
      </c>
      <c r="E11" s="902">
        <v>0.9</v>
      </c>
      <c r="F11" s="902">
        <v>9.8000000000000004E-2</v>
      </c>
      <c r="G11" s="902">
        <v>3.1E-2</v>
      </c>
      <c r="H11" s="902">
        <v>0.31</v>
      </c>
      <c r="I11" s="902">
        <f t="shared" si="0"/>
        <v>1.3800000000000001</v>
      </c>
      <c r="J11" s="792" t="s">
        <v>1803</v>
      </c>
      <c r="K11" s="2">
        <v>7</v>
      </c>
      <c r="L11" s="792" t="s">
        <v>1802</v>
      </c>
      <c r="M11" s="461">
        <v>0.15</v>
      </c>
      <c r="N11" s="461" t="s">
        <v>47</v>
      </c>
      <c r="O11" s="461">
        <v>0.45</v>
      </c>
      <c r="P11" s="3">
        <v>0.04</v>
      </c>
      <c r="Q11" s="3">
        <v>0.01</v>
      </c>
      <c r="R11" s="461">
        <v>0.33</v>
      </c>
      <c r="S11" s="4">
        <v>0.98</v>
      </c>
      <c r="T11" s="792" t="s">
        <v>1803</v>
      </c>
      <c r="U11" s="892">
        <v>7</v>
      </c>
      <c r="V11" s="897" t="s">
        <v>1802</v>
      </c>
      <c r="W11" s="901">
        <v>13.82</v>
      </c>
      <c r="X11" s="901">
        <v>0</v>
      </c>
      <c r="Y11" s="901">
        <v>44.03</v>
      </c>
      <c r="Z11" s="901">
        <v>0</v>
      </c>
      <c r="AA11" s="901">
        <v>0</v>
      </c>
      <c r="AB11" s="901"/>
      <c r="AC11" s="901"/>
      <c r="AD11" s="901">
        <f>SUM(W11:AA11)</f>
        <v>57.85</v>
      </c>
      <c r="AE11" s="897" t="s">
        <v>1803</v>
      </c>
      <c r="AF11" s="892">
        <v>7</v>
      </c>
      <c r="AG11" s="897" t="s">
        <v>1802</v>
      </c>
      <c r="AH11" s="901">
        <v>1500</v>
      </c>
      <c r="AI11" s="901">
        <v>600</v>
      </c>
      <c r="AJ11" s="901">
        <v>500</v>
      </c>
      <c r="AK11" s="901">
        <v>0</v>
      </c>
      <c r="AL11" s="901">
        <v>0</v>
      </c>
      <c r="AM11" s="901">
        <v>7000</v>
      </c>
      <c r="AN11" s="901"/>
      <c r="AO11" s="901">
        <f t="shared" si="1"/>
        <v>9600</v>
      </c>
      <c r="AP11" s="900" t="s">
        <v>1803</v>
      </c>
      <c r="AQ11" s="1376">
        <v>7</v>
      </c>
      <c r="AR11" s="897" t="s">
        <v>1803</v>
      </c>
      <c r="AS11" s="899"/>
      <c r="AT11" s="898"/>
      <c r="AU11" s="898">
        <v>460</v>
      </c>
      <c r="AV11" s="898"/>
      <c r="AW11" s="898"/>
      <c r="AX11" s="898"/>
      <c r="AY11" s="898"/>
      <c r="AZ11" s="898">
        <f t="shared" si="2"/>
        <v>460</v>
      </c>
      <c r="BA11" s="1377" t="s">
        <v>1802</v>
      </c>
    </row>
    <row r="12" spans="1:53">
      <c r="A12" s="2">
        <v>8</v>
      </c>
      <c r="B12" s="792" t="s">
        <v>1800</v>
      </c>
      <c r="C12" s="902">
        <v>0.1</v>
      </c>
      <c r="D12" s="902">
        <v>496</v>
      </c>
      <c r="E12" s="902" t="s">
        <v>47</v>
      </c>
      <c r="F12" s="902" t="s">
        <v>47</v>
      </c>
      <c r="G12" s="902">
        <v>0.77</v>
      </c>
      <c r="H12" s="902">
        <v>5.0999999999999996</v>
      </c>
      <c r="I12" s="909">
        <f t="shared" si="0"/>
        <v>501.97</v>
      </c>
      <c r="J12" s="792" t="s">
        <v>1801</v>
      </c>
      <c r="K12" s="2">
        <v>8</v>
      </c>
      <c r="L12" s="792" t="s">
        <v>1800</v>
      </c>
      <c r="M12" s="3">
        <v>2.98</v>
      </c>
      <c r="N12" s="461">
        <v>498</v>
      </c>
      <c r="O12" s="461" t="s">
        <v>47</v>
      </c>
      <c r="P12" s="3">
        <v>1.1200000000000001</v>
      </c>
      <c r="Q12" s="3">
        <v>0.09</v>
      </c>
      <c r="R12" s="461">
        <v>15.6</v>
      </c>
      <c r="S12" s="4">
        <v>517.79</v>
      </c>
      <c r="T12" s="792" t="s">
        <v>1801</v>
      </c>
      <c r="U12" s="892">
        <v>8</v>
      </c>
      <c r="V12" s="897" t="s">
        <v>1800</v>
      </c>
      <c r="W12" s="901">
        <v>52261</v>
      </c>
      <c r="X12" s="901">
        <v>44077.89</v>
      </c>
      <c r="Y12" s="901">
        <v>690</v>
      </c>
      <c r="Z12" s="901">
        <v>21250.05</v>
      </c>
      <c r="AA12" s="901">
        <v>5000</v>
      </c>
      <c r="AB12" s="901"/>
      <c r="AC12" s="901"/>
      <c r="AD12" s="901">
        <f>SUM(W12:AA12)</f>
        <v>123278.94</v>
      </c>
      <c r="AE12" s="897" t="s">
        <v>1801</v>
      </c>
      <c r="AF12" s="892">
        <v>8</v>
      </c>
      <c r="AG12" s="897" t="s">
        <v>1800</v>
      </c>
      <c r="AH12" s="901">
        <v>39116.1</v>
      </c>
      <c r="AI12" s="901">
        <v>90808.62</v>
      </c>
      <c r="AJ12" s="901">
        <v>1031.05</v>
      </c>
      <c r="AK12" s="901">
        <v>25723.200000000001</v>
      </c>
      <c r="AL12" s="901">
        <v>5080</v>
      </c>
      <c r="AM12" s="901">
        <v>3622</v>
      </c>
      <c r="AN12" s="901">
        <v>210280</v>
      </c>
      <c r="AO12" s="901">
        <f t="shared" si="1"/>
        <v>375660.97</v>
      </c>
      <c r="AP12" s="900" t="s">
        <v>1801</v>
      </c>
      <c r="AQ12" s="1376">
        <v>8</v>
      </c>
      <c r="AR12" s="897" t="s">
        <v>1801</v>
      </c>
      <c r="AS12" s="899">
        <v>44236.56</v>
      </c>
      <c r="AT12" s="898">
        <v>87295.6</v>
      </c>
      <c r="AU12" s="898">
        <v>2128</v>
      </c>
      <c r="AV12" s="898">
        <v>27446.18</v>
      </c>
      <c r="AW12" s="898">
        <v>3500</v>
      </c>
      <c r="AX12" s="898">
        <v>4290</v>
      </c>
      <c r="AY12" s="898">
        <v>125450</v>
      </c>
      <c r="AZ12" s="898">
        <f t="shared" si="2"/>
        <v>294346.33999999997</v>
      </c>
      <c r="BA12" s="1377" t="s">
        <v>1800</v>
      </c>
    </row>
    <row r="13" spans="1:53">
      <c r="A13" s="2">
        <v>9</v>
      </c>
      <c r="B13" s="792" t="s">
        <v>1366</v>
      </c>
      <c r="C13" s="902">
        <v>11</v>
      </c>
      <c r="D13" s="902">
        <v>9.6</v>
      </c>
      <c r="E13" s="902" t="s">
        <v>47</v>
      </c>
      <c r="F13" s="902">
        <v>3.65</v>
      </c>
      <c r="G13" s="902">
        <v>0.21</v>
      </c>
      <c r="H13" s="902">
        <v>2.5999999999999999E-2</v>
      </c>
      <c r="I13" s="902">
        <f t="shared" si="0"/>
        <v>24.486000000000001</v>
      </c>
      <c r="J13" s="792" t="s">
        <v>1798</v>
      </c>
      <c r="K13" s="2">
        <v>9</v>
      </c>
      <c r="L13" s="792" t="s">
        <v>1366</v>
      </c>
      <c r="M13" s="3">
        <v>15.6</v>
      </c>
      <c r="N13" s="461">
        <v>21.4</v>
      </c>
      <c r="O13" s="461" t="s">
        <v>47</v>
      </c>
      <c r="P13" s="3">
        <v>0.08</v>
      </c>
      <c r="Q13" s="3">
        <v>0.11</v>
      </c>
      <c r="R13" s="461">
        <v>11.2</v>
      </c>
      <c r="S13" s="4">
        <v>48.39</v>
      </c>
      <c r="T13" s="792" t="s">
        <v>1798</v>
      </c>
      <c r="U13" s="892">
        <v>9</v>
      </c>
      <c r="V13" s="897" t="s">
        <v>1366</v>
      </c>
      <c r="W13" s="901" t="s">
        <v>1799</v>
      </c>
      <c r="X13" s="901">
        <v>34.1</v>
      </c>
      <c r="Y13" s="901">
        <v>0</v>
      </c>
      <c r="Z13" s="901">
        <v>3915.64</v>
      </c>
      <c r="AA13" s="901">
        <v>0</v>
      </c>
      <c r="AB13" s="901"/>
      <c r="AC13" s="901"/>
      <c r="AD13" s="901">
        <f>SUM(W13:AC13)</f>
        <v>3949.74</v>
      </c>
      <c r="AE13" s="897" t="s">
        <v>1798</v>
      </c>
      <c r="AF13" s="892">
        <v>9</v>
      </c>
      <c r="AG13" s="897" t="s">
        <v>1366</v>
      </c>
      <c r="AH13" s="901">
        <v>2600</v>
      </c>
      <c r="AI13" s="901">
        <v>3000</v>
      </c>
      <c r="AJ13" s="901">
        <v>1000</v>
      </c>
      <c r="AK13" s="901">
        <v>4080.78</v>
      </c>
      <c r="AL13" s="901">
        <v>70</v>
      </c>
      <c r="AM13" s="901">
        <v>1000</v>
      </c>
      <c r="AN13" s="901">
        <v>35000</v>
      </c>
      <c r="AO13" s="901">
        <f t="shared" si="1"/>
        <v>46750.78</v>
      </c>
      <c r="AP13" s="900" t="s">
        <v>1798</v>
      </c>
      <c r="AQ13" s="1376">
        <v>9</v>
      </c>
      <c r="AR13" s="897" t="s">
        <v>1798</v>
      </c>
      <c r="AS13" s="899"/>
      <c r="AT13" s="898">
        <v>223.15</v>
      </c>
      <c r="AU13" s="898"/>
      <c r="AV13" s="898">
        <v>4576.41</v>
      </c>
      <c r="AW13" s="898"/>
      <c r="AX13" s="898"/>
      <c r="AY13" s="898"/>
      <c r="AZ13" s="898">
        <f t="shared" si="2"/>
        <v>4799.5599999999995</v>
      </c>
      <c r="BA13" s="1377" t="s">
        <v>1366</v>
      </c>
    </row>
    <row r="14" spans="1:53">
      <c r="A14" s="2">
        <v>10</v>
      </c>
      <c r="B14" s="792" t="s">
        <v>5</v>
      </c>
      <c r="C14" s="902">
        <v>6.0000000000000001E-3</v>
      </c>
      <c r="D14" s="902" t="s">
        <v>47</v>
      </c>
      <c r="E14" s="902" t="s">
        <v>47</v>
      </c>
      <c r="F14" s="902">
        <v>15</v>
      </c>
      <c r="G14" s="902">
        <v>25.3</v>
      </c>
      <c r="H14" s="902">
        <v>15.6</v>
      </c>
      <c r="I14" s="902">
        <f t="shared" si="0"/>
        <v>55.905999999999999</v>
      </c>
      <c r="J14" s="792" t="s">
        <v>153</v>
      </c>
      <c r="K14" s="2">
        <v>10</v>
      </c>
      <c r="L14" s="792" t="s">
        <v>5</v>
      </c>
      <c r="M14" s="3">
        <v>17.600000000000001</v>
      </c>
      <c r="N14" s="461" t="s">
        <v>47</v>
      </c>
      <c r="O14" s="461" t="s">
        <v>47</v>
      </c>
      <c r="P14" s="3">
        <v>26.1</v>
      </c>
      <c r="Q14" s="3">
        <v>0.04</v>
      </c>
      <c r="R14" s="461">
        <v>17.600000000000001</v>
      </c>
      <c r="S14" s="4">
        <v>61.34</v>
      </c>
      <c r="T14" s="792" t="s">
        <v>153</v>
      </c>
      <c r="U14" s="892">
        <v>10</v>
      </c>
      <c r="V14" s="897" t="s">
        <v>5</v>
      </c>
      <c r="W14" s="901"/>
      <c r="X14" s="901">
        <v>0.5</v>
      </c>
      <c r="Y14" s="901">
        <v>5145</v>
      </c>
      <c r="Z14" s="901">
        <v>0.5</v>
      </c>
      <c r="AA14" s="901">
        <v>0</v>
      </c>
      <c r="AB14" s="901">
        <v>0</v>
      </c>
      <c r="AC14" s="901">
        <v>29</v>
      </c>
      <c r="AD14" s="901">
        <f>SUM(W14:AC14)</f>
        <v>5175</v>
      </c>
      <c r="AE14" s="897" t="s">
        <v>153</v>
      </c>
      <c r="AF14" s="892">
        <v>10</v>
      </c>
      <c r="AG14" s="897" t="s">
        <v>5</v>
      </c>
      <c r="AH14" s="901">
        <v>0</v>
      </c>
      <c r="AI14" s="901">
        <v>0</v>
      </c>
      <c r="AJ14" s="901">
        <v>1488584</v>
      </c>
      <c r="AK14" s="901">
        <v>0</v>
      </c>
      <c r="AL14" s="901">
        <v>0</v>
      </c>
      <c r="AM14" s="901">
        <v>240912</v>
      </c>
      <c r="AN14" s="901">
        <v>29.5</v>
      </c>
      <c r="AO14" s="901">
        <f t="shared" si="1"/>
        <v>1729525.5</v>
      </c>
      <c r="AP14" s="900" t="s">
        <v>153</v>
      </c>
      <c r="AQ14" s="1376">
        <v>10</v>
      </c>
      <c r="AR14" s="897" t="s">
        <v>153</v>
      </c>
      <c r="AS14" s="899"/>
      <c r="AT14" s="898"/>
      <c r="AU14" s="898">
        <v>22</v>
      </c>
      <c r="AV14" s="898"/>
      <c r="AW14" s="898"/>
      <c r="AX14" s="898"/>
      <c r="AY14" s="898"/>
      <c r="AZ14" s="898">
        <f t="shared" si="2"/>
        <v>22</v>
      </c>
      <c r="BA14" s="1377" t="s">
        <v>5</v>
      </c>
    </row>
    <row r="15" spans="1:53" ht="18" customHeight="1">
      <c r="A15" s="2">
        <v>11</v>
      </c>
      <c r="B15" s="792" t="s">
        <v>632</v>
      </c>
      <c r="C15" s="902">
        <v>1.97</v>
      </c>
      <c r="D15" s="902" t="s">
        <v>47</v>
      </c>
      <c r="E15" s="902">
        <v>0.36</v>
      </c>
      <c r="F15" s="902" t="s">
        <v>47</v>
      </c>
      <c r="G15" s="902" t="s">
        <v>47</v>
      </c>
      <c r="H15" s="902" t="s">
        <v>47</v>
      </c>
      <c r="I15" s="902">
        <f t="shared" si="0"/>
        <v>2.33</v>
      </c>
      <c r="J15" s="792" t="s">
        <v>1080</v>
      </c>
      <c r="K15" s="2">
        <v>11</v>
      </c>
      <c r="L15" s="792" t="s">
        <v>632</v>
      </c>
      <c r="M15" s="461">
        <v>1.99</v>
      </c>
      <c r="N15" s="461" t="s">
        <v>47</v>
      </c>
      <c r="O15" s="461">
        <v>0.05</v>
      </c>
      <c r="P15" s="3">
        <v>7.0000000000000007E-2</v>
      </c>
      <c r="Q15" s="3">
        <v>0.01</v>
      </c>
      <c r="R15" s="461">
        <v>0.04</v>
      </c>
      <c r="S15" s="4">
        <v>2.16</v>
      </c>
      <c r="T15" s="792" t="s">
        <v>1080</v>
      </c>
      <c r="U15" s="892">
        <v>11</v>
      </c>
      <c r="V15" s="897" t="s">
        <v>1081</v>
      </c>
      <c r="W15" s="901"/>
      <c r="X15" s="901"/>
      <c r="Y15" s="901"/>
      <c r="Z15" s="901"/>
      <c r="AA15" s="901"/>
      <c r="AB15" s="901"/>
      <c r="AC15" s="901"/>
      <c r="AD15" s="901"/>
      <c r="AE15" s="897" t="s">
        <v>1080</v>
      </c>
      <c r="AF15" s="892">
        <v>11</v>
      </c>
      <c r="AG15" s="897" t="s">
        <v>1081</v>
      </c>
      <c r="AH15" s="901">
        <v>0</v>
      </c>
      <c r="AI15" s="901">
        <v>0</v>
      </c>
      <c r="AJ15" s="901">
        <v>686.5</v>
      </c>
      <c r="AK15" s="901">
        <v>0</v>
      </c>
      <c r="AL15" s="901">
        <v>0</v>
      </c>
      <c r="AM15" s="901"/>
      <c r="AN15" s="901">
        <v>37.36</v>
      </c>
      <c r="AO15" s="901">
        <f t="shared" si="1"/>
        <v>723.86</v>
      </c>
      <c r="AP15" s="900" t="s">
        <v>1080</v>
      </c>
      <c r="AQ15" s="1376">
        <v>11</v>
      </c>
      <c r="AR15" s="897" t="s">
        <v>1797</v>
      </c>
      <c r="AS15" s="899"/>
      <c r="AT15" s="898"/>
      <c r="AU15" s="898"/>
      <c r="AV15" s="898"/>
      <c r="AW15" s="898"/>
      <c r="AX15" s="898"/>
      <c r="AY15" s="898"/>
      <c r="AZ15" s="898"/>
      <c r="BA15" s="1377" t="s">
        <v>1796</v>
      </c>
    </row>
    <row r="16" spans="1:53">
      <c r="A16" s="2">
        <v>12</v>
      </c>
      <c r="B16" s="792" t="s">
        <v>1794</v>
      </c>
      <c r="C16" s="902" t="s">
        <v>47</v>
      </c>
      <c r="D16" s="902">
        <v>0.06</v>
      </c>
      <c r="E16" s="902" t="s">
        <v>47</v>
      </c>
      <c r="F16" s="902" t="s">
        <v>47</v>
      </c>
      <c r="G16" s="902">
        <v>398</v>
      </c>
      <c r="H16" s="902" t="s">
        <v>47</v>
      </c>
      <c r="I16" s="902">
        <f t="shared" si="0"/>
        <v>398.06</v>
      </c>
      <c r="J16" s="792" t="s">
        <v>1795</v>
      </c>
      <c r="K16" s="2">
        <v>12</v>
      </c>
      <c r="L16" s="792" t="s">
        <v>1794</v>
      </c>
      <c r="M16" s="461">
        <v>1.98</v>
      </c>
      <c r="N16" s="461">
        <v>11.19</v>
      </c>
      <c r="O16" s="461" t="s">
        <v>47</v>
      </c>
      <c r="P16" s="3">
        <v>391</v>
      </c>
      <c r="Q16" s="3">
        <v>0.9</v>
      </c>
      <c r="R16" s="461">
        <v>1.1000000000000001</v>
      </c>
      <c r="S16" s="4">
        <v>406.17</v>
      </c>
      <c r="T16" s="792" t="s">
        <v>1795</v>
      </c>
      <c r="U16" s="892">
        <v>12</v>
      </c>
      <c r="V16" s="897" t="s">
        <v>1794</v>
      </c>
      <c r="W16" s="901">
        <v>714</v>
      </c>
      <c r="X16" s="901"/>
      <c r="Y16" s="901"/>
      <c r="Z16" s="901"/>
      <c r="AA16" s="901"/>
      <c r="AB16" s="901"/>
      <c r="AC16" s="901"/>
      <c r="AD16" s="901"/>
      <c r="AE16" s="897" t="s">
        <v>1795</v>
      </c>
      <c r="AF16" s="892">
        <v>12</v>
      </c>
      <c r="AG16" s="897" t="s">
        <v>1794</v>
      </c>
      <c r="AH16" s="901" t="s">
        <v>47</v>
      </c>
      <c r="AI16" s="901" t="s">
        <v>47</v>
      </c>
      <c r="AJ16" s="901">
        <v>3160</v>
      </c>
      <c r="AK16" s="901" t="s">
        <v>47</v>
      </c>
      <c r="AL16" s="901" t="s">
        <v>47</v>
      </c>
      <c r="AM16" s="901"/>
      <c r="AN16" s="901"/>
      <c r="AO16" s="901">
        <f t="shared" si="1"/>
        <v>3160</v>
      </c>
      <c r="AP16" s="900" t="s">
        <v>1795</v>
      </c>
      <c r="AQ16" s="1376">
        <v>12</v>
      </c>
      <c r="AR16" s="897" t="s">
        <v>1795</v>
      </c>
      <c r="AS16" s="899">
        <v>6196</v>
      </c>
      <c r="AT16" s="898">
        <v>5</v>
      </c>
      <c r="AU16" s="898">
        <v>360</v>
      </c>
      <c r="AV16" s="898">
        <v>40</v>
      </c>
      <c r="AW16" s="898">
        <v>4</v>
      </c>
      <c r="AX16" s="898"/>
      <c r="AY16" s="898"/>
      <c r="AZ16" s="898">
        <f t="shared" ref="AZ16:AZ21" si="3">SUM(AS16+AT16+AU16+AV16+AW16+AX16+AY16)</f>
        <v>6605</v>
      </c>
      <c r="BA16" s="1377" t="s">
        <v>1794</v>
      </c>
    </row>
    <row r="17" spans="1:53">
      <c r="A17" s="2">
        <v>13</v>
      </c>
      <c r="B17" s="792" t="s">
        <v>1365</v>
      </c>
      <c r="C17" s="902">
        <v>5.92</v>
      </c>
      <c r="D17" s="902">
        <v>8.3000000000000007</v>
      </c>
      <c r="E17" s="902">
        <v>7.9</v>
      </c>
      <c r="F17" s="902">
        <v>2.94</v>
      </c>
      <c r="G17" s="902">
        <v>19.53</v>
      </c>
      <c r="H17" s="902">
        <v>0.21</v>
      </c>
      <c r="I17" s="902">
        <f t="shared" si="0"/>
        <v>44.800000000000004</v>
      </c>
      <c r="J17" s="792" t="s">
        <v>1793</v>
      </c>
      <c r="K17" s="2">
        <v>13</v>
      </c>
      <c r="L17" s="792" t="s">
        <v>1365</v>
      </c>
      <c r="M17" s="461">
        <v>9.4499999999999993</v>
      </c>
      <c r="N17" s="461">
        <v>11.5</v>
      </c>
      <c r="O17" s="461">
        <v>8.9499999999999993</v>
      </c>
      <c r="P17" s="461">
        <v>31.1</v>
      </c>
      <c r="Q17" s="461">
        <v>0.7</v>
      </c>
      <c r="R17" s="461">
        <v>2.5</v>
      </c>
      <c r="S17" s="4">
        <v>64.2</v>
      </c>
      <c r="T17" s="792" t="s">
        <v>1793</v>
      </c>
      <c r="U17" s="892">
        <v>13</v>
      </c>
      <c r="V17" s="897" t="s">
        <v>1365</v>
      </c>
      <c r="W17" s="901">
        <v>71081</v>
      </c>
      <c r="X17" s="901">
        <v>136116</v>
      </c>
      <c r="Y17" s="901">
        <v>33007</v>
      </c>
      <c r="Z17" s="901">
        <v>13454</v>
      </c>
      <c r="AA17" s="901">
        <v>14531</v>
      </c>
      <c r="AB17" s="901">
        <v>1011000</v>
      </c>
      <c r="AC17" s="901">
        <v>37481000</v>
      </c>
      <c r="AD17" s="901">
        <f>SUM(W17:AC17)</f>
        <v>38760189</v>
      </c>
      <c r="AE17" s="897" t="s">
        <v>1793</v>
      </c>
      <c r="AF17" s="892">
        <v>13</v>
      </c>
      <c r="AG17" s="897" t="s">
        <v>1365</v>
      </c>
      <c r="AH17" s="901">
        <v>86305</v>
      </c>
      <c r="AI17" s="901">
        <v>210394</v>
      </c>
      <c r="AJ17" s="901">
        <v>33308</v>
      </c>
      <c r="AK17" s="901">
        <v>14721</v>
      </c>
      <c r="AL17" s="901">
        <v>14688</v>
      </c>
      <c r="AM17" s="901">
        <v>1011000</v>
      </c>
      <c r="AN17" s="901">
        <v>37481000</v>
      </c>
      <c r="AO17" s="901">
        <f>SUM(AI17:AN17)</f>
        <v>38765111</v>
      </c>
      <c r="AP17" s="900" t="s">
        <v>1793</v>
      </c>
      <c r="AQ17" s="1376">
        <v>13</v>
      </c>
      <c r="AR17" s="897" t="s">
        <v>1793</v>
      </c>
      <c r="AS17" s="899">
        <v>68824</v>
      </c>
      <c r="AT17" s="898">
        <v>183769</v>
      </c>
      <c r="AU17" s="898">
        <v>31355</v>
      </c>
      <c r="AV17" s="898">
        <v>14704</v>
      </c>
      <c r="AW17" s="898">
        <v>15092</v>
      </c>
      <c r="AX17" s="898">
        <v>1011125</v>
      </c>
      <c r="AY17" s="898">
        <v>37542874</v>
      </c>
      <c r="AZ17" s="898">
        <f t="shared" si="3"/>
        <v>38867743</v>
      </c>
      <c r="BA17" s="1377" t="s">
        <v>1365</v>
      </c>
    </row>
    <row r="18" spans="1:53">
      <c r="A18" s="2">
        <v>14</v>
      </c>
      <c r="B18" s="792" t="s">
        <v>6</v>
      </c>
      <c r="C18" s="902">
        <v>0.77</v>
      </c>
      <c r="D18" s="902" t="s">
        <v>47</v>
      </c>
      <c r="E18" s="902">
        <v>0.84</v>
      </c>
      <c r="F18" s="902" t="s">
        <v>47</v>
      </c>
      <c r="G18" s="902">
        <v>3.41</v>
      </c>
      <c r="H18" s="902">
        <v>6.0000000000000001E-3</v>
      </c>
      <c r="I18" s="902">
        <f t="shared" si="0"/>
        <v>5.0259999999999998</v>
      </c>
      <c r="J18" s="792" t="s">
        <v>157</v>
      </c>
      <c r="K18" s="2">
        <v>14</v>
      </c>
      <c r="L18" s="792" t="s">
        <v>6</v>
      </c>
      <c r="M18" s="461">
        <v>0.94</v>
      </c>
      <c r="N18" s="461">
        <v>0.84</v>
      </c>
      <c r="O18" s="461">
        <v>2.41</v>
      </c>
      <c r="P18" s="461">
        <v>19.5</v>
      </c>
      <c r="Q18" s="461">
        <v>1E-3</v>
      </c>
      <c r="R18" s="461">
        <v>1.01</v>
      </c>
      <c r="S18" s="4">
        <v>24.701000000000001</v>
      </c>
      <c r="T18" s="792" t="s">
        <v>157</v>
      </c>
      <c r="U18" s="892">
        <v>14</v>
      </c>
      <c r="V18" s="897" t="s">
        <v>6</v>
      </c>
      <c r="W18" s="901"/>
      <c r="X18" s="901"/>
      <c r="Y18" s="901">
        <v>77750</v>
      </c>
      <c r="Z18" s="901"/>
      <c r="AA18" s="901"/>
      <c r="AB18" s="901"/>
      <c r="AC18" s="901"/>
      <c r="AD18" s="901"/>
      <c r="AE18" s="897" t="s">
        <v>157</v>
      </c>
      <c r="AF18" s="892">
        <v>14</v>
      </c>
      <c r="AG18" s="897" t="s">
        <v>6</v>
      </c>
      <c r="AH18" s="901">
        <v>80000</v>
      </c>
      <c r="AI18" s="901">
        <v>500000</v>
      </c>
      <c r="AJ18" s="901">
        <v>75000</v>
      </c>
      <c r="AK18" s="901"/>
      <c r="AL18" s="901"/>
      <c r="AM18" s="901">
        <v>600000</v>
      </c>
      <c r="AN18" s="901"/>
      <c r="AO18" s="901">
        <f t="shared" ref="AO18:AO37" si="4">SUM(AH18:AN18)</f>
        <v>1255000</v>
      </c>
      <c r="AP18" s="900" t="s">
        <v>157</v>
      </c>
      <c r="AQ18" s="1376">
        <v>14</v>
      </c>
      <c r="AR18" s="897" t="s">
        <v>157</v>
      </c>
      <c r="AS18" s="899">
        <v>9885.8799999999992</v>
      </c>
      <c r="AT18" s="898">
        <v>26038.75</v>
      </c>
      <c r="AU18" s="898">
        <v>752.53679999999997</v>
      </c>
      <c r="AV18" s="898">
        <v>144</v>
      </c>
      <c r="AW18" s="898">
        <v>6489.0320000000002</v>
      </c>
      <c r="AX18" s="898">
        <v>312.60000000000002</v>
      </c>
      <c r="AY18" s="898">
        <v>356.89</v>
      </c>
      <c r="AZ18" s="898">
        <f t="shared" si="3"/>
        <v>43979.688799999996</v>
      </c>
      <c r="BA18" s="1377" t="s">
        <v>6</v>
      </c>
    </row>
    <row r="19" spans="1:53">
      <c r="A19" s="2">
        <v>15</v>
      </c>
      <c r="B19" s="792" t="s">
        <v>859</v>
      </c>
      <c r="C19" s="902">
        <v>26.5</v>
      </c>
      <c r="D19" s="902">
        <v>19.600000000000001</v>
      </c>
      <c r="E19" s="902">
        <v>1.56</v>
      </c>
      <c r="F19" s="902">
        <v>1.95</v>
      </c>
      <c r="G19" s="902">
        <v>11</v>
      </c>
      <c r="H19" s="902">
        <v>1.28</v>
      </c>
      <c r="I19" s="902">
        <f t="shared" si="0"/>
        <v>61.890000000000008</v>
      </c>
      <c r="J19" s="792" t="s">
        <v>1792</v>
      </c>
      <c r="K19" s="2">
        <v>15</v>
      </c>
      <c r="L19" s="792" t="s">
        <v>859</v>
      </c>
      <c r="M19" s="461">
        <v>31.1</v>
      </c>
      <c r="N19" s="461">
        <v>29.4</v>
      </c>
      <c r="O19" s="461">
        <v>2.56</v>
      </c>
      <c r="P19" s="461">
        <v>36.1</v>
      </c>
      <c r="Q19" s="461">
        <v>0.7</v>
      </c>
      <c r="R19" s="461">
        <v>8.14</v>
      </c>
      <c r="S19" s="4">
        <v>108</v>
      </c>
      <c r="T19" s="792" t="s">
        <v>1792</v>
      </c>
      <c r="U19" s="892">
        <v>15</v>
      </c>
      <c r="V19" s="897" t="s">
        <v>859</v>
      </c>
      <c r="W19" s="901">
        <v>4071</v>
      </c>
      <c r="X19" s="901">
        <v>8941.41</v>
      </c>
      <c r="Y19" s="901">
        <v>10089.280000000001</v>
      </c>
      <c r="Z19" s="901">
        <v>17056.39</v>
      </c>
      <c r="AA19" s="901"/>
      <c r="AB19" s="901"/>
      <c r="AC19" s="901"/>
      <c r="AD19" s="901">
        <f>SUM(W19:AC19)</f>
        <v>40158.080000000002</v>
      </c>
      <c r="AE19" s="897" t="s">
        <v>1792</v>
      </c>
      <c r="AF19" s="892">
        <v>15</v>
      </c>
      <c r="AG19" s="897" t="s">
        <v>859</v>
      </c>
      <c r="AH19" s="901">
        <v>10178.61</v>
      </c>
      <c r="AI19" s="901">
        <v>20553</v>
      </c>
      <c r="AJ19" s="901">
        <v>10457.209999999999</v>
      </c>
      <c r="AK19" s="901">
        <v>17390.18</v>
      </c>
      <c r="AL19" s="901">
        <v>0</v>
      </c>
      <c r="AM19" s="901">
        <v>1130700.186</v>
      </c>
      <c r="AN19" s="901"/>
      <c r="AO19" s="901">
        <f t="shared" si="4"/>
        <v>1189279.186</v>
      </c>
      <c r="AP19" s="900" t="s">
        <v>1792</v>
      </c>
      <c r="AQ19" s="1376">
        <v>15</v>
      </c>
      <c r="AR19" s="897" t="s">
        <v>1792</v>
      </c>
      <c r="AS19" s="899">
        <v>5436.7</v>
      </c>
      <c r="AT19" s="898">
        <v>28377</v>
      </c>
      <c r="AU19" s="898">
        <v>25520.9</v>
      </c>
      <c r="AV19" s="898">
        <v>11140.9</v>
      </c>
      <c r="AW19" s="898"/>
      <c r="AX19" s="898"/>
      <c r="AY19" s="898"/>
      <c r="AZ19" s="898">
        <f t="shared" si="3"/>
        <v>70475.5</v>
      </c>
      <c r="BA19" s="1377" t="s">
        <v>859</v>
      </c>
    </row>
    <row r="20" spans="1:53">
      <c r="A20" s="2">
        <v>16</v>
      </c>
      <c r="B20" s="792" t="s">
        <v>1363</v>
      </c>
      <c r="C20" s="902">
        <v>10.4</v>
      </c>
      <c r="D20" s="902">
        <v>8.9</v>
      </c>
      <c r="E20" s="902">
        <v>8.9</v>
      </c>
      <c r="F20" s="902" t="s">
        <v>47</v>
      </c>
      <c r="G20" s="902">
        <v>2.8</v>
      </c>
      <c r="H20" s="902">
        <v>5.2</v>
      </c>
      <c r="I20" s="902">
        <f t="shared" si="0"/>
        <v>36.200000000000003</v>
      </c>
      <c r="J20" s="792" t="s">
        <v>1791</v>
      </c>
      <c r="K20" s="2">
        <v>16</v>
      </c>
      <c r="L20" s="792" t="s">
        <v>1363</v>
      </c>
      <c r="M20" s="461">
        <v>19.399999999999999</v>
      </c>
      <c r="N20" s="461">
        <v>15.1</v>
      </c>
      <c r="O20" s="461">
        <v>9.94</v>
      </c>
      <c r="P20" s="3">
        <v>38.21</v>
      </c>
      <c r="Q20" s="3">
        <v>0.6</v>
      </c>
      <c r="R20" s="461">
        <v>6.64</v>
      </c>
      <c r="S20" s="4">
        <v>89.89</v>
      </c>
      <c r="T20" s="792" t="s">
        <v>1791</v>
      </c>
      <c r="U20" s="892">
        <v>16</v>
      </c>
      <c r="V20" s="897" t="s">
        <v>1363</v>
      </c>
      <c r="W20" s="901">
        <v>17638</v>
      </c>
      <c r="X20" s="901">
        <v>3457</v>
      </c>
      <c r="Y20" s="901">
        <v>796.90700000000004</v>
      </c>
      <c r="Z20" s="901">
        <v>1494.2</v>
      </c>
      <c r="AA20" s="901">
        <v>0</v>
      </c>
      <c r="AB20" s="901"/>
      <c r="AC20" s="901"/>
      <c r="AD20" s="901">
        <f>SUM(W20:AC20)</f>
        <v>23386.107</v>
      </c>
      <c r="AE20" s="897" t="s">
        <v>1791</v>
      </c>
      <c r="AF20" s="892">
        <v>16</v>
      </c>
      <c r="AG20" s="897" t="s">
        <v>1363</v>
      </c>
      <c r="AH20" s="901">
        <v>27045</v>
      </c>
      <c r="AI20" s="901">
        <v>38669</v>
      </c>
      <c r="AJ20" s="901">
        <v>8140.92</v>
      </c>
      <c r="AK20" s="901">
        <v>16262</v>
      </c>
      <c r="AL20" s="901">
        <v>1249</v>
      </c>
      <c r="AM20" s="901"/>
      <c r="AN20" s="901"/>
      <c r="AO20" s="901">
        <f t="shared" si="4"/>
        <v>91365.92</v>
      </c>
      <c r="AP20" s="900" t="s">
        <v>1791</v>
      </c>
      <c r="AQ20" s="1376">
        <v>16</v>
      </c>
      <c r="AR20" s="897" t="s">
        <v>1791</v>
      </c>
      <c r="AS20" s="899">
        <v>42231</v>
      </c>
      <c r="AT20" s="898">
        <v>34909</v>
      </c>
      <c r="AU20" s="898">
        <v>13312</v>
      </c>
      <c r="AV20" s="898">
        <v>40993</v>
      </c>
      <c r="AW20" s="898"/>
      <c r="AX20" s="898"/>
      <c r="AY20" s="898"/>
      <c r="AZ20" s="898">
        <f t="shared" si="3"/>
        <v>131445</v>
      </c>
      <c r="BA20" s="1377" t="s">
        <v>1363</v>
      </c>
    </row>
    <row r="21" spans="1:53">
      <c r="A21" s="2">
        <v>17</v>
      </c>
      <c r="B21" s="792" t="s">
        <v>1362</v>
      </c>
      <c r="C21" s="902" t="s">
        <v>47</v>
      </c>
      <c r="D21" s="902">
        <v>0.94</v>
      </c>
      <c r="E21" s="902" t="s">
        <v>47</v>
      </c>
      <c r="F21" s="902" t="s">
        <v>47</v>
      </c>
      <c r="G21" s="902">
        <v>9.0999999999999998E-2</v>
      </c>
      <c r="H21" s="902" t="s">
        <v>47</v>
      </c>
      <c r="I21" s="902">
        <f t="shared" si="0"/>
        <v>1.0309999999999999</v>
      </c>
      <c r="J21" s="792" t="s">
        <v>1790</v>
      </c>
      <c r="K21" s="2">
        <v>17</v>
      </c>
      <c r="L21" s="792" t="s">
        <v>1362</v>
      </c>
      <c r="M21" s="461" t="s">
        <v>47</v>
      </c>
      <c r="N21" s="461">
        <v>0.98</v>
      </c>
      <c r="O21" s="461" t="s">
        <v>47</v>
      </c>
      <c r="P21" s="461">
        <v>0.09</v>
      </c>
      <c r="Q21" s="461" t="s">
        <v>47</v>
      </c>
      <c r="R21" s="461" t="s">
        <v>47</v>
      </c>
      <c r="S21" s="4">
        <v>1.07</v>
      </c>
      <c r="T21" s="792" t="s">
        <v>1790</v>
      </c>
      <c r="U21" s="892">
        <v>17</v>
      </c>
      <c r="V21" s="897" t="s">
        <v>1362</v>
      </c>
      <c r="W21" s="901">
        <v>50</v>
      </c>
      <c r="X21" s="901"/>
      <c r="Y21" s="901" t="s">
        <v>47</v>
      </c>
      <c r="Z21" s="901" t="s">
        <v>47</v>
      </c>
      <c r="AA21" s="901"/>
      <c r="AB21" s="901"/>
      <c r="AC21" s="901" t="s">
        <v>47</v>
      </c>
      <c r="AD21" s="901">
        <v>50</v>
      </c>
      <c r="AE21" s="897" t="s">
        <v>1790</v>
      </c>
      <c r="AF21" s="892">
        <v>17</v>
      </c>
      <c r="AG21" s="897" t="s">
        <v>1362</v>
      </c>
      <c r="AH21" s="901">
        <v>0</v>
      </c>
      <c r="AI21" s="901">
        <v>1</v>
      </c>
      <c r="AJ21" s="901">
        <v>0</v>
      </c>
      <c r="AK21" s="901">
        <v>0</v>
      </c>
      <c r="AL21" s="901">
        <v>0.5</v>
      </c>
      <c r="AM21" s="901"/>
      <c r="AN21" s="901" t="s">
        <v>47</v>
      </c>
      <c r="AO21" s="901">
        <f t="shared" si="4"/>
        <v>1.5</v>
      </c>
      <c r="AP21" s="900" t="s">
        <v>1790</v>
      </c>
      <c r="AQ21" s="1376">
        <v>17</v>
      </c>
      <c r="AR21" s="897" t="s">
        <v>1790</v>
      </c>
      <c r="AS21" s="899"/>
      <c r="AT21" s="898">
        <v>100</v>
      </c>
      <c r="AU21" s="898"/>
      <c r="AV21" s="898"/>
      <c r="AW21" s="898">
        <v>50</v>
      </c>
      <c r="AX21" s="898"/>
      <c r="AY21" s="898"/>
      <c r="AZ21" s="898">
        <f t="shared" si="3"/>
        <v>150</v>
      </c>
      <c r="BA21" s="1377" t="s">
        <v>1362</v>
      </c>
    </row>
    <row r="22" spans="1:53">
      <c r="A22" s="2">
        <v>18</v>
      </c>
      <c r="B22" s="792" t="s">
        <v>843</v>
      </c>
      <c r="C22" s="902" t="s">
        <v>47</v>
      </c>
      <c r="D22" s="902">
        <v>21.6</v>
      </c>
      <c r="E22" s="902" t="s">
        <v>47</v>
      </c>
      <c r="F22" s="902" t="s">
        <v>47</v>
      </c>
      <c r="G22" s="902">
        <v>9.6</v>
      </c>
      <c r="H22" s="902" t="s">
        <v>47</v>
      </c>
      <c r="I22" s="902">
        <f t="shared" si="0"/>
        <v>31.200000000000003</v>
      </c>
      <c r="J22" s="792" t="s">
        <v>1789</v>
      </c>
      <c r="K22" s="2">
        <v>18</v>
      </c>
      <c r="L22" s="792" t="s">
        <v>843</v>
      </c>
      <c r="M22" s="3" t="s">
        <v>47</v>
      </c>
      <c r="N22" s="461">
        <v>1.98</v>
      </c>
      <c r="O22" s="461" t="s">
        <v>47</v>
      </c>
      <c r="P22" s="3">
        <v>1.1299999999999999</v>
      </c>
      <c r="Q22" s="3" t="s">
        <v>47</v>
      </c>
      <c r="R22" s="461" t="s">
        <v>47</v>
      </c>
      <c r="S22" s="4">
        <v>3.11</v>
      </c>
      <c r="T22" s="792" t="s">
        <v>1789</v>
      </c>
      <c r="U22" s="892">
        <v>18</v>
      </c>
      <c r="V22" s="897" t="s">
        <v>843</v>
      </c>
      <c r="W22" s="901"/>
      <c r="X22" s="901"/>
      <c r="Y22" s="901"/>
      <c r="Z22" s="901"/>
      <c r="AA22" s="901"/>
      <c r="AB22" s="901"/>
      <c r="AC22" s="901"/>
      <c r="AD22" s="901"/>
      <c r="AE22" s="897" t="s">
        <v>1789</v>
      </c>
      <c r="AF22" s="892">
        <v>18</v>
      </c>
      <c r="AG22" s="897" t="s">
        <v>843</v>
      </c>
      <c r="AH22" s="901"/>
      <c r="AI22" s="901">
        <v>1000</v>
      </c>
      <c r="AJ22" s="901"/>
      <c r="AK22" s="901"/>
      <c r="AL22" s="901"/>
      <c r="AM22" s="901"/>
      <c r="AN22" s="901"/>
      <c r="AO22" s="901">
        <f t="shared" si="4"/>
        <v>1000</v>
      </c>
      <c r="AP22" s="900" t="s">
        <v>1789</v>
      </c>
      <c r="AQ22" s="1376">
        <v>18</v>
      </c>
      <c r="AR22" s="897" t="s">
        <v>1789</v>
      </c>
      <c r="AS22" s="899"/>
      <c r="AT22" s="898"/>
      <c r="AU22" s="898"/>
      <c r="AV22" s="898"/>
      <c r="AW22" s="898"/>
      <c r="AX22" s="898"/>
      <c r="AY22" s="898"/>
      <c r="AZ22" s="898"/>
      <c r="BA22" s="1377" t="s">
        <v>843</v>
      </c>
    </row>
    <row r="23" spans="1:53">
      <c r="A23" s="2">
        <v>19</v>
      </c>
      <c r="B23" s="792" t="s">
        <v>30</v>
      </c>
      <c r="C23" s="902" t="s">
        <v>47</v>
      </c>
      <c r="D23" s="902">
        <v>1.29</v>
      </c>
      <c r="E23" s="902" t="s">
        <v>47</v>
      </c>
      <c r="F23" s="902" t="s">
        <v>47</v>
      </c>
      <c r="G23" s="902">
        <v>1.1100000000000001</v>
      </c>
      <c r="H23" s="902" t="s">
        <v>47</v>
      </c>
      <c r="I23" s="902">
        <f t="shared" si="0"/>
        <v>2.4000000000000004</v>
      </c>
      <c r="J23" s="792" t="s">
        <v>162</v>
      </c>
      <c r="K23" s="2">
        <v>19</v>
      </c>
      <c r="L23" s="792" t="s">
        <v>30</v>
      </c>
      <c r="M23" s="461" t="s">
        <v>47</v>
      </c>
      <c r="N23" s="461">
        <v>23.1</v>
      </c>
      <c r="O23" s="461" t="s">
        <v>47</v>
      </c>
      <c r="P23" s="461">
        <v>9.6999999999999993</v>
      </c>
      <c r="Q23" s="461" t="s">
        <v>47</v>
      </c>
      <c r="R23" s="461" t="s">
        <v>47</v>
      </c>
      <c r="S23" s="4">
        <v>32.799999999999997</v>
      </c>
      <c r="T23" s="792" t="s">
        <v>162</v>
      </c>
      <c r="U23" s="892">
        <v>19</v>
      </c>
      <c r="V23" s="897" t="s">
        <v>30</v>
      </c>
      <c r="W23" s="901"/>
      <c r="X23" s="901"/>
      <c r="Y23" s="901"/>
      <c r="Z23" s="901"/>
      <c r="AA23" s="901"/>
      <c r="AB23" s="901"/>
      <c r="AC23" s="901"/>
      <c r="AD23" s="901"/>
      <c r="AE23" s="897" t="s">
        <v>162</v>
      </c>
      <c r="AF23" s="892">
        <v>19</v>
      </c>
      <c r="AG23" s="897" t="s">
        <v>30</v>
      </c>
      <c r="AH23" s="901"/>
      <c r="AI23" s="901"/>
      <c r="AJ23" s="901">
        <v>18.8</v>
      </c>
      <c r="AK23" s="901"/>
      <c r="AL23" s="901"/>
      <c r="AM23" s="901"/>
      <c r="AN23" s="901"/>
      <c r="AO23" s="901">
        <f t="shared" si="4"/>
        <v>18.8</v>
      </c>
      <c r="AP23" s="900" t="s">
        <v>162</v>
      </c>
      <c r="AQ23" s="1376">
        <v>19</v>
      </c>
      <c r="AR23" s="897" t="s">
        <v>162</v>
      </c>
      <c r="AS23" s="899"/>
      <c r="AT23" s="898"/>
      <c r="AU23" s="898">
        <v>6</v>
      </c>
      <c r="AV23" s="898"/>
      <c r="AW23" s="898"/>
      <c r="AX23" s="898"/>
      <c r="AY23" s="898"/>
      <c r="AZ23" s="898">
        <f>SUM(AS23+AT23+AU23+AV23+AW23+AX23+AY23)</f>
        <v>6</v>
      </c>
      <c r="BA23" s="1377" t="s">
        <v>30</v>
      </c>
    </row>
    <row r="24" spans="1:53">
      <c r="A24" s="2">
        <v>20</v>
      </c>
      <c r="B24" s="792" t="s">
        <v>841</v>
      </c>
      <c r="C24" s="902">
        <v>0.51</v>
      </c>
      <c r="D24" s="902">
        <v>1.9</v>
      </c>
      <c r="E24" s="902" t="s">
        <v>47</v>
      </c>
      <c r="F24" s="902" t="s">
        <v>47</v>
      </c>
      <c r="G24" s="902">
        <v>1.22</v>
      </c>
      <c r="H24" s="902" t="s">
        <v>47</v>
      </c>
      <c r="I24" s="902">
        <f t="shared" si="0"/>
        <v>3.63</v>
      </c>
      <c r="J24" s="792" t="s">
        <v>1016</v>
      </c>
      <c r="K24" s="2">
        <v>20</v>
      </c>
      <c r="L24" s="792" t="s">
        <v>841</v>
      </c>
      <c r="M24" s="461">
        <v>0.64</v>
      </c>
      <c r="N24" s="461">
        <v>2.2000000000000002</v>
      </c>
      <c r="O24" s="461" t="s">
        <v>47</v>
      </c>
      <c r="P24" s="3">
        <v>1.23</v>
      </c>
      <c r="Q24" s="3" t="s">
        <v>47</v>
      </c>
      <c r="R24" s="461" t="s">
        <v>47</v>
      </c>
      <c r="S24" s="4">
        <v>4.07</v>
      </c>
      <c r="T24" s="792" t="s">
        <v>1016</v>
      </c>
      <c r="U24" s="892">
        <v>20</v>
      </c>
      <c r="V24" s="897" t="s">
        <v>841</v>
      </c>
      <c r="W24" s="901"/>
      <c r="X24" s="901"/>
      <c r="Y24" s="901"/>
      <c r="Z24" s="901"/>
      <c r="AA24" s="901"/>
      <c r="AB24" s="901"/>
      <c r="AC24" s="901"/>
      <c r="AD24" s="901"/>
      <c r="AE24" s="897" t="s">
        <v>1016</v>
      </c>
      <c r="AF24" s="892">
        <v>20</v>
      </c>
      <c r="AG24" s="897" t="s">
        <v>841</v>
      </c>
      <c r="AH24" s="901">
        <v>0</v>
      </c>
      <c r="AI24" s="901">
        <v>15000</v>
      </c>
      <c r="AJ24" s="901">
        <v>1050</v>
      </c>
      <c r="AK24" s="901">
        <v>0</v>
      </c>
      <c r="AL24" s="901">
        <v>0</v>
      </c>
      <c r="AM24" s="901">
        <v>12600</v>
      </c>
      <c r="AN24" s="901">
        <v>52000</v>
      </c>
      <c r="AO24" s="901">
        <f t="shared" si="4"/>
        <v>80650</v>
      </c>
      <c r="AP24" s="900" t="s">
        <v>1016</v>
      </c>
      <c r="AQ24" s="1376">
        <v>20</v>
      </c>
      <c r="AR24" s="897" t="s">
        <v>1016</v>
      </c>
      <c r="AS24" s="899"/>
      <c r="AT24" s="898">
        <v>15015</v>
      </c>
      <c r="AU24" s="898">
        <v>1060.5</v>
      </c>
      <c r="AV24" s="898"/>
      <c r="AW24" s="898"/>
      <c r="AX24" s="898">
        <v>12726</v>
      </c>
      <c r="AY24" s="898">
        <v>52520</v>
      </c>
      <c r="AZ24" s="898">
        <f>SUM(AS24+AT24+AU24+AV24+AW24+AX24+AY24)</f>
        <v>81321.5</v>
      </c>
      <c r="BA24" s="1377" t="s">
        <v>841</v>
      </c>
    </row>
    <row r="25" spans="1:53">
      <c r="A25" s="2">
        <v>21</v>
      </c>
      <c r="B25" s="792" t="s">
        <v>9</v>
      </c>
      <c r="C25" s="902">
        <v>11.3</v>
      </c>
      <c r="D25" s="902" t="s">
        <v>47</v>
      </c>
      <c r="E25" s="902">
        <v>9.6</v>
      </c>
      <c r="F25" s="902">
        <v>0.68</v>
      </c>
      <c r="G25" s="902">
        <v>6.17</v>
      </c>
      <c r="H25" s="902" t="s">
        <v>47</v>
      </c>
      <c r="I25" s="902">
        <f t="shared" si="0"/>
        <v>27.75</v>
      </c>
      <c r="J25" s="792" t="s">
        <v>164</v>
      </c>
      <c r="K25" s="2">
        <v>21</v>
      </c>
      <c r="L25" s="792" t="s">
        <v>9</v>
      </c>
      <c r="M25" s="461">
        <v>14.4</v>
      </c>
      <c r="N25" s="461" t="s">
        <v>47</v>
      </c>
      <c r="O25" s="461">
        <v>9.84</v>
      </c>
      <c r="P25" s="461">
        <v>7.11</v>
      </c>
      <c r="Q25" s="461" t="s">
        <v>47</v>
      </c>
      <c r="R25" s="461" t="s">
        <v>47</v>
      </c>
      <c r="S25" s="4">
        <v>31.35</v>
      </c>
      <c r="T25" s="792" t="s">
        <v>164</v>
      </c>
      <c r="U25" s="892">
        <v>21</v>
      </c>
      <c r="V25" s="897" t="s">
        <v>9</v>
      </c>
      <c r="W25" s="901">
        <v>32500</v>
      </c>
      <c r="X25" s="901">
        <v>7860.66</v>
      </c>
      <c r="Y25" s="901">
        <v>30800</v>
      </c>
      <c r="Z25" s="901">
        <v>122.35</v>
      </c>
      <c r="AA25" s="901">
        <v>35</v>
      </c>
      <c r="AB25" s="901"/>
      <c r="AC25" s="901"/>
      <c r="AD25" s="901">
        <f>SUM(W25:AA25)</f>
        <v>71318.010000000009</v>
      </c>
      <c r="AE25" s="897" t="s">
        <v>164</v>
      </c>
      <c r="AF25" s="892">
        <v>21</v>
      </c>
      <c r="AG25" s="897" t="s">
        <v>9</v>
      </c>
      <c r="AH25" s="901">
        <v>14975</v>
      </c>
      <c r="AI25" s="901">
        <v>8211</v>
      </c>
      <c r="AJ25" s="901">
        <v>40990</v>
      </c>
      <c r="AK25" s="901">
        <v>32.85</v>
      </c>
      <c r="AL25" s="901">
        <v>45</v>
      </c>
      <c r="AM25" s="901"/>
      <c r="AN25" s="901"/>
      <c r="AO25" s="901">
        <f t="shared" si="4"/>
        <v>64253.85</v>
      </c>
      <c r="AP25" s="900" t="s">
        <v>164</v>
      </c>
      <c r="AQ25" s="1376">
        <v>21</v>
      </c>
      <c r="AR25" s="897" t="s">
        <v>164</v>
      </c>
      <c r="AS25" s="899">
        <v>13153.5</v>
      </c>
      <c r="AT25" s="898">
        <v>12102</v>
      </c>
      <c r="AU25" s="898">
        <v>17064.5</v>
      </c>
      <c r="AV25" s="898">
        <v>680</v>
      </c>
      <c r="AW25" s="898">
        <v>785</v>
      </c>
      <c r="AX25" s="898"/>
      <c r="AY25" s="898">
        <v>5565</v>
      </c>
      <c r="AZ25" s="898">
        <f>SUM(AS25+AT25+AU25+AV25+AW25+AX25+AY25)</f>
        <v>49350</v>
      </c>
      <c r="BA25" s="1377" t="s">
        <v>9</v>
      </c>
    </row>
    <row r="26" spans="1:53">
      <c r="A26" s="2">
        <v>22</v>
      </c>
      <c r="B26" s="792" t="s">
        <v>1787</v>
      </c>
      <c r="C26" s="902" t="s">
        <v>47</v>
      </c>
      <c r="D26" s="902" t="s">
        <v>47</v>
      </c>
      <c r="E26" s="902">
        <v>1.56</v>
      </c>
      <c r="F26" s="902">
        <v>0.997</v>
      </c>
      <c r="G26" s="902">
        <v>0.35</v>
      </c>
      <c r="H26" s="902">
        <v>7.6</v>
      </c>
      <c r="I26" s="902">
        <f t="shared" si="0"/>
        <v>10.507</v>
      </c>
      <c r="J26" s="792" t="s">
        <v>1788</v>
      </c>
      <c r="K26" s="2">
        <v>22</v>
      </c>
      <c r="L26" s="792" t="s">
        <v>1787</v>
      </c>
      <c r="M26" s="461">
        <v>1.85</v>
      </c>
      <c r="N26" s="461">
        <v>14.9</v>
      </c>
      <c r="O26" s="461">
        <v>1.1499999999999999</v>
      </c>
      <c r="P26" s="461">
        <v>14.2</v>
      </c>
      <c r="Q26" s="3">
        <v>0.5</v>
      </c>
      <c r="R26" s="461">
        <v>8.4</v>
      </c>
      <c r="S26" s="4">
        <v>41</v>
      </c>
      <c r="T26" s="792" t="s">
        <v>1788</v>
      </c>
      <c r="U26" s="892">
        <v>22</v>
      </c>
      <c r="V26" s="897" t="s">
        <v>1787</v>
      </c>
      <c r="W26" s="901">
        <v>27230.59</v>
      </c>
      <c r="X26" s="901">
        <v>10980.85</v>
      </c>
      <c r="Y26" s="901">
        <v>164.99</v>
      </c>
      <c r="Z26" s="901">
        <v>6247.2</v>
      </c>
      <c r="AA26" s="901">
        <v>121.38</v>
      </c>
      <c r="AB26" s="901"/>
      <c r="AC26" s="901"/>
      <c r="AD26" s="901">
        <f>SUM(W26:AC26)</f>
        <v>44745.009999999995</v>
      </c>
      <c r="AE26" s="897" t="s">
        <v>1788</v>
      </c>
      <c r="AF26" s="892">
        <v>22</v>
      </c>
      <c r="AG26" s="897" t="s">
        <v>1787</v>
      </c>
      <c r="AH26" s="901">
        <v>30280.52</v>
      </c>
      <c r="AI26" s="901">
        <v>5412.13</v>
      </c>
      <c r="AJ26" s="901">
        <v>1125</v>
      </c>
      <c r="AK26" s="901">
        <v>2865.12</v>
      </c>
      <c r="AL26" s="901">
        <v>59.54</v>
      </c>
      <c r="AM26" s="901">
        <v>2109150</v>
      </c>
      <c r="AN26" s="901"/>
      <c r="AO26" s="901">
        <f t="shared" si="4"/>
        <v>2148892.31</v>
      </c>
      <c r="AP26" s="900" t="s">
        <v>1788</v>
      </c>
      <c r="AQ26" s="1376">
        <v>22</v>
      </c>
      <c r="AR26" s="897" t="s">
        <v>1788</v>
      </c>
      <c r="AS26" s="899">
        <v>36005.22</v>
      </c>
      <c r="AT26" s="898">
        <v>1458.66</v>
      </c>
      <c r="AU26" s="898">
        <v>545</v>
      </c>
      <c r="AV26" s="898">
        <v>6116.98</v>
      </c>
      <c r="AW26" s="898">
        <v>37.22</v>
      </c>
      <c r="AX26" s="898"/>
      <c r="AY26" s="898"/>
      <c r="AZ26" s="898">
        <f>SUM(AS26+AT26+AU26+AV26+AW26+AX26+AY26)</f>
        <v>44163.08</v>
      </c>
      <c r="BA26" s="1377" t="s">
        <v>1787</v>
      </c>
    </row>
    <row r="27" spans="1:53">
      <c r="A27" s="2">
        <v>23</v>
      </c>
      <c r="B27" s="792" t="s">
        <v>1359</v>
      </c>
      <c r="C27" s="902">
        <v>22.1</v>
      </c>
      <c r="D27" s="902">
        <v>14.9</v>
      </c>
      <c r="E27" s="902" t="s">
        <v>47</v>
      </c>
      <c r="F27" s="902">
        <v>0.21</v>
      </c>
      <c r="G27" s="902" t="s">
        <v>47</v>
      </c>
      <c r="H27" s="902">
        <v>1.1299999999999999E-2</v>
      </c>
      <c r="I27" s="902">
        <f t="shared" si="0"/>
        <v>37.221299999999999</v>
      </c>
      <c r="J27" s="792" t="s">
        <v>1786</v>
      </c>
      <c r="K27" s="2">
        <v>23</v>
      </c>
      <c r="L27" s="792" t="s">
        <v>1359</v>
      </c>
      <c r="M27" s="461">
        <v>26.4</v>
      </c>
      <c r="N27" s="461">
        <v>24.1</v>
      </c>
      <c r="O27" s="461" t="s">
        <v>47</v>
      </c>
      <c r="P27" s="461">
        <v>12.1</v>
      </c>
      <c r="Q27" s="461">
        <v>0.14000000000000001</v>
      </c>
      <c r="R27" s="461">
        <v>2.5</v>
      </c>
      <c r="S27" s="4">
        <v>65.239999999999995</v>
      </c>
      <c r="T27" s="792" t="s">
        <v>1786</v>
      </c>
      <c r="U27" s="892">
        <v>23</v>
      </c>
      <c r="V27" s="897" t="s">
        <v>1359</v>
      </c>
      <c r="W27" s="901">
        <v>19500</v>
      </c>
      <c r="X27" s="901">
        <v>2800</v>
      </c>
      <c r="Y27" s="901">
        <v>12200</v>
      </c>
      <c r="Z27" s="901">
        <v>11100</v>
      </c>
      <c r="AA27" s="901">
        <v>50</v>
      </c>
      <c r="AB27" s="901"/>
      <c r="AC27" s="901"/>
      <c r="AD27" s="901">
        <f>SUM(W27:AC27)</f>
        <v>45650</v>
      </c>
      <c r="AE27" s="897" t="s">
        <v>1786</v>
      </c>
      <c r="AF27" s="892">
        <v>23</v>
      </c>
      <c r="AG27" s="897" t="s">
        <v>1359</v>
      </c>
      <c r="AH27" s="901">
        <v>20156</v>
      </c>
      <c r="AI27" s="901">
        <v>2900</v>
      </c>
      <c r="AJ27" s="901">
        <v>9200</v>
      </c>
      <c r="AK27" s="901"/>
      <c r="AL27" s="901"/>
      <c r="AM27" s="901">
        <v>220000</v>
      </c>
      <c r="AN27" s="901"/>
      <c r="AO27" s="901">
        <f t="shared" si="4"/>
        <v>252256</v>
      </c>
      <c r="AP27" s="900" t="s">
        <v>1786</v>
      </c>
      <c r="AQ27" s="1376">
        <v>23</v>
      </c>
      <c r="AR27" s="897" t="s">
        <v>1786</v>
      </c>
      <c r="AS27" s="899">
        <v>17870</v>
      </c>
      <c r="AT27" s="898">
        <v>2960</v>
      </c>
      <c r="AU27" s="898">
        <v>12425</v>
      </c>
      <c r="AV27" s="898">
        <v>11442</v>
      </c>
      <c r="AW27" s="898">
        <v>70</v>
      </c>
      <c r="AX27" s="898"/>
      <c r="AY27" s="898"/>
      <c r="AZ27" s="898">
        <f>SUM(AS27+AT27+AU27+AV27+AW27+AX27+AY27)</f>
        <v>44767</v>
      </c>
      <c r="BA27" s="1377" t="s">
        <v>1359</v>
      </c>
    </row>
    <row r="28" spans="1:53">
      <c r="A28" s="2">
        <v>24</v>
      </c>
      <c r="B28" s="792" t="s">
        <v>11</v>
      </c>
      <c r="C28" s="902">
        <v>0.35</v>
      </c>
      <c r="D28" s="902" t="s">
        <v>47</v>
      </c>
      <c r="E28" s="902" t="s">
        <v>47</v>
      </c>
      <c r="F28" s="902" t="s">
        <v>47</v>
      </c>
      <c r="G28" s="902">
        <v>7.0000000000000007E-2</v>
      </c>
      <c r="H28" s="902" t="s">
        <v>47</v>
      </c>
      <c r="I28" s="902">
        <f t="shared" si="0"/>
        <v>0.42</v>
      </c>
      <c r="J28" s="792" t="s">
        <v>1785</v>
      </c>
      <c r="K28" s="2">
        <v>24</v>
      </c>
      <c r="L28" s="792" t="s">
        <v>11</v>
      </c>
      <c r="M28" s="461">
        <v>0.45</v>
      </c>
      <c r="N28" s="461" t="s">
        <v>47</v>
      </c>
      <c r="O28" s="461" t="s">
        <v>47</v>
      </c>
      <c r="P28" s="461">
        <v>0.09</v>
      </c>
      <c r="Q28" s="461">
        <v>0.51</v>
      </c>
      <c r="R28" s="461">
        <v>0.04</v>
      </c>
      <c r="S28" s="4">
        <v>1.0900000000000001</v>
      </c>
      <c r="T28" s="792" t="s">
        <v>1785</v>
      </c>
      <c r="U28" s="892">
        <v>24</v>
      </c>
      <c r="V28" s="897" t="s">
        <v>11</v>
      </c>
      <c r="W28" s="901"/>
      <c r="X28" s="901"/>
      <c r="Y28" s="901"/>
      <c r="Z28" s="901"/>
      <c r="AA28" s="901"/>
      <c r="AB28" s="901"/>
      <c r="AC28" s="901"/>
      <c r="AD28" s="901"/>
      <c r="AE28" s="897" t="s">
        <v>1785</v>
      </c>
      <c r="AF28" s="892">
        <v>24</v>
      </c>
      <c r="AG28" s="897" t="s">
        <v>11</v>
      </c>
      <c r="AH28" s="901">
        <v>0</v>
      </c>
      <c r="AI28" s="901">
        <v>0</v>
      </c>
      <c r="AJ28" s="901">
        <v>800</v>
      </c>
      <c r="AK28" s="901">
        <v>0</v>
      </c>
      <c r="AL28" s="901">
        <v>0</v>
      </c>
      <c r="AM28" s="901"/>
      <c r="AN28" s="901">
        <v>160000</v>
      </c>
      <c r="AO28" s="901">
        <f t="shared" si="4"/>
        <v>160800</v>
      </c>
      <c r="AP28" s="900" t="s">
        <v>1785</v>
      </c>
      <c r="AQ28" s="1376">
        <v>24</v>
      </c>
      <c r="AR28" s="897" t="s">
        <v>1785</v>
      </c>
      <c r="AS28" s="899"/>
      <c r="AT28" s="898"/>
      <c r="AU28" s="898"/>
      <c r="AV28" s="898"/>
      <c r="AW28" s="898"/>
      <c r="AX28" s="898"/>
      <c r="AY28" s="898"/>
      <c r="AZ28" s="898"/>
      <c r="BA28" s="1377" t="s">
        <v>11</v>
      </c>
    </row>
    <row r="29" spans="1:53">
      <c r="A29" s="2">
        <v>25</v>
      </c>
      <c r="B29" s="792" t="s">
        <v>1358</v>
      </c>
      <c r="C29" s="902">
        <v>0.06</v>
      </c>
      <c r="D29" s="902"/>
      <c r="E29" s="902">
        <v>10.26</v>
      </c>
      <c r="F29" s="902">
        <v>0.2</v>
      </c>
      <c r="G29" s="902">
        <v>5.84</v>
      </c>
      <c r="H29" s="902">
        <v>1.31</v>
      </c>
      <c r="I29" s="902">
        <f t="shared" si="0"/>
        <v>17.669999999999998</v>
      </c>
      <c r="J29" s="792" t="s">
        <v>1784</v>
      </c>
      <c r="K29" s="2">
        <v>25</v>
      </c>
      <c r="L29" s="792" t="s">
        <v>1358</v>
      </c>
      <c r="M29" s="461">
        <v>0.48</v>
      </c>
      <c r="N29" s="461">
        <v>18.5</v>
      </c>
      <c r="O29" s="461">
        <v>12.1</v>
      </c>
      <c r="P29" s="461">
        <v>5.89</v>
      </c>
      <c r="Q29" s="3">
        <v>7.0000000000000007E-2</v>
      </c>
      <c r="R29" s="461">
        <v>8.5399999999999991</v>
      </c>
      <c r="S29" s="4">
        <v>45.58</v>
      </c>
      <c r="T29" s="792" t="s">
        <v>1784</v>
      </c>
      <c r="U29" s="892">
        <v>25</v>
      </c>
      <c r="V29" s="897" t="s">
        <v>1358</v>
      </c>
      <c r="W29" s="901"/>
      <c r="X29" s="901"/>
      <c r="Y29" s="901">
        <v>34109</v>
      </c>
      <c r="Z29" s="901"/>
      <c r="AA29" s="901"/>
      <c r="AB29" s="901">
        <v>8875</v>
      </c>
      <c r="AC29" s="901">
        <v>1067348</v>
      </c>
      <c r="AD29" s="901">
        <f>SUM(W29:AC29)</f>
        <v>1110332</v>
      </c>
      <c r="AE29" s="897" t="s">
        <v>1784</v>
      </c>
      <c r="AF29" s="892">
        <v>25</v>
      </c>
      <c r="AG29" s="897" t="s">
        <v>1358</v>
      </c>
      <c r="AH29" s="901">
        <v>24367.94</v>
      </c>
      <c r="AI29" s="901">
        <v>32657.439999999999</v>
      </c>
      <c r="AJ29" s="901">
        <v>33634</v>
      </c>
      <c r="AK29" s="901">
        <v>719.62189999999998</v>
      </c>
      <c r="AL29" s="901">
        <v>0</v>
      </c>
      <c r="AM29" s="901">
        <v>8875</v>
      </c>
      <c r="AN29" s="901">
        <v>817348</v>
      </c>
      <c r="AO29" s="901">
        <f t="shared" si="4"/>
        <v>917602.00190000003</v>
      </c>
      <c r="AP29" s="900" t="s">
        <v>1784</v>
      </c>
      <c r="AQ29" s="1376">
        <v>25</v>
      </c>
      <c r="AR29" s="897" t="s">
        <v>1784</v>
      </c>
      <c r="AS29" s="899">
        <v>57456.800000000003</v>
      </c>
      <c r="AT29" s="898">
        <v>55461.55</v>
      </c>
      <c r="AU29" s="898">
        <v>4451.0420000000004</v>
      </c>
      <c r="AV29" s="898">
        <v>588.98159999999996</v>
      </c>
      <c r="AW29" s="898">
        <v>157.69999999999999</v>
      </c>
      <c r="AX29" s="898">
        <v>324149</v>
      </c>
      <c r="AY29" s="898"/>
      <c r="AZ29" s="898">
        <f t="shared" ref="AZ29:AZ37" si="5">SUM(AS29+AT29+AU29+AV29+AW29+AX29+AY29)</f>
        <v>442265.0736</v>
      </c>
      <c r="BA29" s="1377" t="s">
        <v>1358</v>
      </c>
    </row>
    <row r="30" spans="1:53">
      <c r="A30" s="2">
        <v>26</v>
      </c>
      <c r="B30" s="792" t="s">
        <v>1607</v>
      </c>
      <c r="C30" s="902">
        <v>3.31</v>
      </c>
      <c r="D30" s="902"/>
      <c r="E30" s="902"/>
      <c r="F30" s="902">
        <v>0.3</v>
      </c>
      <c r="G30" s="902">
        <v>0.3</v>
      </c>
      <c r="H30" s="902" t="s">
        <v>47</v>
      </c>
      <c r="I30" s="902">
        <f t="shared" si="0"/>
        <v>3.9099999999999997</v>
      </c>
      <c r="J30" s="792" t="s">
        <v>169</v>
      </c>
      <c r="K30" s="2">
        <v>26</v>
      </c>
      <c r="L30" s="792" t="s">
        <v>1607</v>
      </c>
      <c r="M30" s="3">
        <v>5.98</v>
      </c>
      <c r="N30" s="3" t="s">
        <v>47</v>
      </c>
      <c r="O30" s="3" t="s">
        <v>47</v>
      </c>
      <c r="P30" s="3">
        <v>0.8</v>
      </c>
      <c r="Q30" s="3">
        <v>0.04</v>
      </c>
      <c r="R30" s="461" t="s">
        <v>47</v>
      </c>
      <c r="S30" s="4">
        <v>6.82</v>
      </c>
      <c r="T30" s="792" t="s">
        <v>169</v>
      </c>
      <c r="U30" s="892">
        <v>26</v>
      </c>
      <c r="V30" s="897" t="s">
        <v>1607</v>
      </c>
      <c r="W30" s="901">
        <v>35652.5</v>
      </c>
      <c r="X30" s="901">
        <v>1029.1600000000001</v>
      </c>
      <c r="Y30" s="901">
        <v>427885</v>
      </c>
      <c r="Z30" s="901">
        <v>1023.35</v>
      </c>
      <c r="AA30" s="901">
        <v>0</v>
      </c>
      <c r="AB30" s="901"/>
      <c r="AC30" s="901"/>
      <c r="AD30" s="901">
        <f>SUM(W30:AC30)</f>
        <v>465590.01</v>
      </c>
      <c r="AE30" s="897" t="s">
        <v>169</v>
      </c>
      <c r="AF30" s="892">
        <v>26</v>
      </c>
      <c r="AG30" s="897" t="s">
        <v>1607</v>
      </c>
      <c r="AH30" s="901">
        <v>2150.5</v>
      </c>
      <c r="AI30" s="901">
        <v>1231109.3</v>
      </c>
      <c r="AJ30" s="901">
        <v>427885</v>
      </c>
      <c r="AK30" s="901">
        <v>1042.25</v>
      </c>
      <c r="AL30" s="901">
        <v>0</v>
      </c>
      <c r="AM30" s="901"/>
      <c r="AN30" s="901">
        <v>351185.97499999998</v>
      </c>
      <c r="AO30" s="901">
        <f t="shared" si="4"/>
        <v>2013373.0249999999</v>
      </c>
      <c r="AP30" s="900" t="s">
        <v>169</v>
      </c>
      <c r="AQ30" s="1376">
        <v>26</v>
      </c>
      <c r="AR30" s="897" t="s">
        <v>169</v>
      </c>
      <c r="AS30" s="899">
        <v>24706</v>
      </c>
      <c r="AT30" s="898">
        <v>1197.0999999999999</v>
      </c>
      <c r="AU30" s="898">
        <v>29.120999999999999</v>
      </c>
      <c r="AV30" s="898">
        <v>927.3</v>
      </c>
      <c r="AW30" s="898">
        <v>230</v>
      </c>
      <c r="AX30" s="898"/>
      <c r="AY30" s="898"/>
      <c r="AZ30" s="898">
        <f t="shared" si="5"/>
        <v>27089.520999999997</v>
      </c>
      <c r="BA30" s="1377" t="s">
        <v>1607</v>
      </c>
    </row>
    <row r="31" spans="1:53">
      <c r="A31" s="2">
        <v>27</v>
      </c>
      <c r="B31" s="792" t="s">
        <v>1357</v>
      </c>
      <c r="C31" s="902">
        <v>2.64</v>
      </c>
      <c r="D31" s="902"/>
      <c r="E31" s="902"/>
      <c r="F31" s="902"/>
      <c r="G31" s="902">
        <v>0.11</v>
      </c>
      <c r="H31" s="902" t="s">
        <v>47</v>
      </c>
      <c r="I31" s="902">
        <f t="shared" si="0"/>
        <v>2.75</v>
      </c>
      <c r="J31" s="792" t="s">
        <v>1783</v>
      </c>
      <c r="K31" s="2">
        <v>27</v>
      </c>
      <c r="L31" s="792" t="s">
        <v>1357</v>
      </c>
      <c r="M31" s="461">
        <v>4.12</v>
      </c>
      <c r="N31" s="461" t="s">
        <v>47</v>
      </c>
      <c r="O31" s="461" t="s">
        <v>47</v>
      </c>
      <c r="P31" s="461">
        <v>0.13</v>
      </c>
      <c r="Q31" s="461" t="s">
        <v>47</v>
      </c>
      <c r="R31" s="461" t="s">
        <v>47</v>
      </c>
      <c r="S31" s="4">
        <v>4.25</v>
      </c>
      <c r="T31" s="792" t="s">
        <v>1783</v>
      </c>
      <c r="U31" s="892">
        <v>27</v>
      </c>
      <c r="V31" s="897" t="s">
        <v>1357</v>
      </c>
      <c r="W31" s="901"/>
      <c r="X31" s="901"/>
      <c r="Y31" s="901"/>
      <c r="Z31" s="901"/>
      <c r="AA31" s="901"/>
      <c r="AB31" s="901"/>
      <c r="AC31" s="901"/>
      <c r="AD31" s="901"/>
      <c r="AE31" s="897" t="s">
        <v>1783</v>
      </c>
      <c r="AF31" s="892">
        <v>27</v>
      </c>
      <c r="AG31" s="897" t="s">
        <v>1357</v>
      </c>
      <c r="AH31" s="901">
        <v>0</v>
      </c>
      <c r="AI31" s="901">
        <v>0</v>
      </c>
      <c r="AJ31" s="901">
        <v>390.12700000000001</v>
      </c>
      <c r="AK31" s="901">
        <v>258.93</v>
      </c>
      <c r="AL31" s="901">
        <v>0</v>
      </c>
      <c r="AM31" s="901"/>
      <c r="AN31" s="901"/>
      <c r="AO31" s="901">
        <f t="shared" si="4"/>
        <v>649.05700000000002</v>
      </c>
      <c r="AP31" s="900" t="s">
        <v>1783</v>
      </c>
      <c r="AQ31" s="1376">
        <v>27</v>
      </c>
      <c r="AR31" s="897" t="s">
        <v>1783</v>
      </c>
      <c r="AS31" s="899"/>
      <c r="AT31" s="898"/>
      <c r="AU31" s="898">
        <v>522.01499999999999</v>
      </c>
      <c r="AV31" s="898">
        <v>383.05</v>
      </c>
      <c r="AW31" s="898">
        <v>85.150999999999996</v>
      </c>
      <c r="AX31" s="898"/>
      <c r="AY31" s="898"/>
      <c r="AZ31" s="898">
        <f t="shared" si="5"/>
        <v>990.21600000000001</v>
      </c>
      <c r="BA31" s="1377" t="s">
        <v>1357</v>
      </c>
    </row>
    <row r="32" spans="1:53">
      <c r="A32" s="2">
        <v>28</v>
      </c>
      <c r="B32" s="792" t="s">
        <v>853</v>
      </c>
      <c r="C32" s="902">
        <v>25.4</v>
      </c>
      <c r="D32" s="902">
        <v>25.3</v>
      </c>
      <c r="E32" s="902"/>
      <c r="F32" s="902"/>
      <c r="G32" s="902">
        <v>0.33</v>
      </c>
      <c r="H32" s="902" t="s">
        <v>47</v>
      </c>
      <c r="I32" s="902">
        <f t="shared" si="0"/>
        <v>51.03</v>
      </c>
      <c r="J32" s="792" t="s">
        <v>1782</v>
      </c>
      <c r="K32" s="2">
        <v>28</v>
      </c>
      <c r="L32" s="792" t="s">
        <v>853</v>
      </c>
      <c r="M32" s="461">
        <v>28.4</v>
      </c>
      <c r="N32" s="461">
        <v>31.2</v>
      </c>
      <c r="O32" s="461" t="s">
        <v>47</v>
      </c>
      <c r="P32" s="461">
        <v>12.8</v>
      </c>
      <c r="Q32" s="461">
        <v>0.09</v>
      </c>
      <c r="R32" s="461" t="s">
        <v>47</v>
      </c>
      <c r="S32" s="4">
        <v>72.489999999999995</v>
      </c>
      <c r="T32" s="792" t="s">
        <v>1782</v>
      </c>
      <c r="U32" s="892">
        <v>28</v>
      </c>
      <c r="V32" s="897" t="s">
        <v>853</v>
      </c>
      <c r="W32" s="901"/>
      <c r="X32" s="901">
        <v>977.4</v>
      </c>
      <c r="Y32" s="901">
        <v>0</v>
      </c>
      <c r="Z32" s="901">
        <v>4210.25</v>
      </c>
      <c r="AA32" s="901">
        <v>11941</v>
      </c>
      <c r="AB32" s="901"/>
      <c r="AC32" s="901"/>
      <c r="AD32" s="901">
        <f>SUM(W32:AA32)</f>
        <v>17128.650000000001</v>
      </c>
      <c r="AE32" s="897" t="s">
        <v>1782</v>
      </c>
      <c r="AF32" s="892">
        <v>28</v>
      </c>
      <c r="AG32" s="897" t="s">
        <v>853</v>
      </c>
      <c r="AH32" s="901"/>
      <c r="AI32" s="901">
        <v>767</v>
      </c>
      <c r="AJ32" s="901">
        <v>0</v>
      </c>
      <c r="AK32" s="901">
        <v>3852.75</v>
      </c>
      <c r="AL32" s="901">
        <v>13950.49</v>
      </c>
      <c r="AM32" s="901"/>
      <c r="AN32" s="901"/>
      <c r="AO32" s="901">
        <f t="shared" si="4"/>
        <v>18570.239999999998</v>
      </c>
      <c r="AP32" s="900" t="s">
        <v>1782</v>
      </c>
      <c r="AQ32" s="1376">
        <v>28</v>
      </c>
      <c r="AR32" s="897" t="s">
        <v>1782</v>
      </c>
      <c r="AS32" s="899"/>
      <c r="AT32" s="898">
        <v>7703</v>
      </c>
      <c r="AU32" s="898">
        <v>131</v>
      </c>
      <c r="AV32" s="898">
        <v>7614.75</v>
      </c>
      <c r="AW32" s="898">
        <v>17789.490000000002</v>
      </c>
      <c r="AX32" s="898"/>
      <c r="AY32" s="898"/>
      <c r="AZ32" s="898">
        <f t="shared" si="5"/>
        <v>33238.240000000005</v>
      </c>
      <c r="BA32" s="1377" t="s">
        <v>853</v>
      </c>
    </row>
    <row r="33" spans="1:53">
      <c r="A33" s="907">
        <v>29</v>
      </c>
      <c r="B33" s="903" t="s">
        <v>1780</v>
      </c>
      <c r="C33" s="908">
        <v>10.7</v>
      </c>
      <c r="D33" s="908">
        <v>16.8</v>
      </c>
      <c r="E33" s="908"/>
      <c r="F33" s="908"/>
      <c r="G33" s="908">
        <v>0.7</v>
      </c>
      <c r="H33" s="908" t="s">
        <v>47</v>
      </c>
      <c r="I33" s="908">
        <f t="shared" si="0"/>
        <v>28.2</v>
      </c>
      <c r="J33" s="903" t="s">
        <v>1781</v>
      </c>
      <c r="K33" s="907">
        <v>29</v>
      </c>
      <c r="L33" s="903" t="s">
        <v>1780</v>
      </c>
      <c r="M33" s="905">
        <v>13.65</v>
      </c>
      <c r="N33" s="905">
        <v>27.6</v>
      </c>
      <c r="O33" s="905" t="s">
        <v>47</v>
      </c>
      <c r="P33" s="906">
        <v>12.5</v>
      </c>
      <c r="Q33" s="906">
        <v>0.05</v>
      </c>
      <c r="R33" s="905" t="s">
        <v>47</v>
      </c>
      <c r="S33" s="904">
        <v>53.8</v>
      </c>
      <c r="T33" s="903" t="s">
        <v>1781</v>
      </c>
      <c r="U33" s="892">
        <v>29</v>
      </c>
      <c r="V33" s="897" t="s">
        <v>1780</v>
      </c>
      <c r="W33" s="901">
        <v>917.86</v>
      </c>
      <c r="X33" s="901">
        <v>666.18</v>
      </c>
      <c r="Y33" s="901">
        <v>63.95</v>
      </c>
      <c r="Z33" s="901">
        <v>346.63</v>
      </c>
      <c r="AA33" s="901">
        <v>2.3650000000000002</v>
      </c>
      <c r="AB33" s="901">
        <v>30000</v>
      </c>
      <c r="AC33" s="901"/>
      <c r="AD33" s="901">
        <f>SUM(W33:AB33)</f>
        <v>31996.985000000001</v>
      </c>
      <c r="AE33" s="897" t="s">
        <v>1781</v>
      </c>
      <c r="AF33" s="892">
        <v>29</v>
      </c>
      <c r="AG33" s="897" t="s">
        <v>1780</v>
      </c>
      <c r="AH33" s="901" t="s">
        <v>1182</v>
      </c>
      <c r="AI33" s="901">
        <v>865.88</v>
      </c>
      <c r="AJ33" s="901">
        <v>200.8</v>
      </c>
      <c r="AK33" s="901">
        <v>1728.65</v>
      </c>
      <c r="AL33" s="901">
        <v>0.49</v>
      </c>
      <c r="AM33" s="901">
        <v>28000</v>
      </c>
      <c r="AN33" s="901"/>
      <c r="AO33" s="901">
        <f t="shared" si="4"/>
        <v>30795.82</v>
      </c>
      <c r="AP33" s="900" t="s">
        <v>1781</v>
      </c>
      <c r="AQ33" s="1376">
        <v>29</v>
      </c>
      <c r="AR33" s="897" t="s">
        <v>1781</v>
      </c>
      <c r="AS33" s="899">
        <v>2100</v>
      </c>
      <c r="AT33" s="898">
        <v>396.64</v>
      </c>
      <c r="AU33" s="898"/>
      <c r="AV33" s="898">
        <v>3462.63</v>
      </c>
      <c r="AW33" s="898"/>
      <c r="AX33" s="898"/>
      <c r="AY33" s="898"/>
      <c r="AZ33" s="898">
        <f t="shared" si="5"/>
        <v>5959.27</v>
      </c>
      <c r="BA33" s="1377" t="s">
        <v>1780</v>
      </c>
    </row>
    <row r="34" spans="1:53">
      <c r="A34" s="2">
        <v>30</v>
      </c>
      <c r="B34" s="792" t="s">
        <v>1356</v>
      </c>
      <c r="C34" s="902">
        <v>9.1</v>
      </c>
      <c r="D34" s="902">
        <v>39.799999999999997</v>
      </c>
      <c r="E34" s="902">
        <v>9.6</v>
      </c>
      <c r="F34" s="902">
        <v>6.7</v>
      </c>
      <c r="G34" s="902">
        <v>2.12</v>
      </c>
      <c r="H34" s="902">
        <v>5.2</v>
      </c>
      <c r="I34" s="902">
        <f t="shared" si="0"/>
        <v>72.52000000000001</v>
      </c>
      <c r="J34" s="792" t="s">
        <v>1779</v>
      </c>
      <c r="K34" s="2">
        <v>30</v>
      </c>
      <c r="L34" s="792" t="s">
        <v>1356</v>
      </c>
      <c r="M34" s="461">
        <v>19.600000000000001</v>
      </c>
      <c r="N34" s="461">
        <v>41.5</v>
      </c>
      <c r="O34" s="461">
        <v>8.4</v>
      </c>
      <c r="P34" s="461">
        <v>8.9</v>
      </c>
      <c r="Q34" s="3">
        <v>0.08</v>
      </c>
      <c r="R34" s="461">
        <v>9.4</v>
      </c>
      <c r="S34" s="4">
        <v>87.88</v>
      </c>
      <c r="T34" s="792" t="s">
        <v>1779</v>
      </c>
      <c r="U34" s="892">
        <v>30</v>
      </c>
      <c r="V34" s="897" t="s">
        <v>1356</v>
      </c>
      <c r="W34" s="901">
        <v>45000</v>
      </c>
      <c r="X34" s="901">
        <v>3449</v>
      </c>
      <c r="Y34" s="901">
        <v>3330</v>
      </c>
      <c r="Z34" s="901">
        <v>0.2</v>
      </c>
      <c r="AA34" s="901">
        <v>0</v>
      </c>
      <c r="AB34" s="901"/>
      <c r="AC34" s="901"/>
      <c r="AD34" s="901">
        <f>SUM(W34:AA34)</f>
        <v>51779.199999999997</v>
      </c>
      <c r="AE34" s="897" t="s">
        <v>1779</v>
      </c>
      <c r="AF34" s="892">
        <v>30</v>
      </c>
      <c r="AG34" s="897" t="s">
        <v>1356</v>
      </c>
      <c r="AH34" s="901">
        <v>50000</v>
      </c>
      <c r="AI34" s="901">
        <v>1054.33</v>
      </c>
      <c r="AJ34" s="901">
        <v>10665.343999999999</v>
      </c>
      <c r="AK34" s="901">
        <v>5.61</v>
      </c>
      <c r="AL34" s="901">
        <v>3641.1529999999998</v>
      </c>
      <c r="AM34" s="901">
        <v>2910</v>
      </c>
      <c r="AN34" s="901">
        <v>365.09500000000003</v>
      </c>
      <c r="AO34" s="901">
        <f t="shared" si="4"/>
        <v>68641.532000000007</v>
      </c>
      <c r="AP34" s="900" t="s">
        <v>1779</v>
      </c>
      <c r="AQ34" s="1376">
        <v>30</v>
      </c>
      <c r="AR34" s="897" t="s">
        <v>1779</v>
      </c>
      <c r="AS34" s="899">
        <v>50750</v>
      </c>
      <c r="AT34" s="898">
        <v>261</v>
      </c>
      <c r="AU34" s="898">
        <v>2343.09</v>
      </c>
      <c r="AV34" s="898">
        <v>810.7</v>
      </c>
      <c r="AW34" s="898">
        <v>7983.84</v>
      </c>
      <c r="AX34" s="898"/>
      <c r="AY34" s="898">
        <v>114.69</v>
      </c>
      <c r="AZ34" s="898">
        <f t="shared" si="5"/>
        <v>62263.319999999992</v>
      </c>
      <c r="BA34" s="1377" t="s">
        <v>1356</v>
      </c>
    </row>
    <row r="35" spans="1:53">
      <c r="A35" s="2">
        <v>31</v>
      </c>
      <c r="B35" s="792" t="s">
        <v>38</v>
      </c>
      <c r="C35" s="902">
        <v>8.5</v>
      </c>
      <c r="D35" s="902">
        <v>7.95</v>
      </c>
      <c r="E35" s="902"/>
      <c r="F35" s="902"/>
      <c r="G35" s="902"/>
      <c r="H35" s="902"/>
      <c r="I35" s="902">
        <f t="shared" si="0"/>
        <v>16.45</v>
      </c>
      <c r="J35" s="792" t="s">
        <v>175</v>
      </c>
      <c r="K35" s="2">
        <v>31</v>
      </c>
      <c r="L35" s="792" t="s">
        <v>38</v>
      </c>
      <c r="M35" s="3">
        <v>10.1</v>
      </c>
      <c r="N35" s="3">
        <v>18.100000000000001</v>
      </c>
      <c r="O35" s="3" t="s">
        <v>47</v>
      </c>
      <c r="P35" s="3" t="s">
        <v>47</v>
      </c>
      <c r="Q35" s="3" t="s">
        <v>47</v>
      </c>
      <c r="R35" s="461" t="s">
        <v>47</v>
      </c>
      <c r="S35" s="4">
        <v>28.2</v>
      </c>
      <c r="T35" s="792" t="s">
        <v>175</v>
      </c>
      <c r="U35" s="892">
        <v>31</v>
      </c>
      <c r="V35" s="897" t="s">
        <v>38</v>
      </c>
      <c r="W35" s="901"/>
      <c r="X35" s="901"/>
      <c r="Y35" s="901"/>
      <c r="Z35" s="901"/>
      <c r="AA35" s="901"/>
      <c r="AB35" s="901"/>
      <c r="AC35" s="901"/>
      <c r="AD35" s="901"/>
      <c r="AE35" s="897" t="s">
        <v>175</v>
      </c>
      <c r="AF35" s="892">
        <v>31</v>
      </c>
      <c r="AG35" s="897" t="s">
        <v>38</v>
      </c>
      <c r="AH35" s="901"/>
      <c r="AI35" s="901"/>
      <c r="AJ35" s="901"/>
      <c r="AK35" s="901"/>
      <c r="AL35" s="901"/>
      <c r="AM35" s="901"/>
      <c r="AN35" s="901"/>
      <c r="AO35" s="901">
        <f t="shared" si="4"/>
        <v>0</v>
      </c>
      <c r="AP35" s="900" t="s">
        <v>175</v>
      </c>
      <c r="AQ35" s="1376">
        <v>31</v>
      </c>
      <c r="AR35" s="897" t="s">
        <v>175</v>
      </c>
      <c r="AS35" s="899"/>
      <c r="AT35" s="898"/>
      <c r="AU35" s="898"/>
      <c r="AV35" s="898"/>
      <c r="AW35" s="898"/>
      <c r="AX35" s="898"/>
      <c r="AY35" s="898"/>
      <c r="AZ35" s="898">
        <f t="shared" si="5"/>
        <v>0</v>
      </c>
      <c r="BA35" s="1377" t="s">
        <v>38</v>
      </c>
    </row>
    <row r="36" spans="1:53">
      <c r="A36" s="2">
        <v>32</v>
      </c>
      <c r="B36" s="792" t="s">
        <v>10</v>
      </c>
      <c r="C36" s="902" t="s">
        <v>47</v>
      </c>
      <c r="D36" s="902"/>
      <c r="E36" s="902">
        <v>5.66</v>
      </c>
      <c r="F36" s="902"/>
      <c r="G36" s="902"/>
      <c r="H36" s="902">
        <v>2.11</v>
      </c>
      <c r="I36" s="902">
        <f t="shared" si="0"/>
        <v>7.77</v>
      </c>
      <c r="J36" s="792" t="s">
        <v>179</v>
      </c>
      <c r="K36" s="2">
        <v>32</v>
      </c>
      <c r="L36" s="792" t="s">
        <v>10</v>
      </c>
      <c r="M36" s="3">
        <v>0</v>
      </c>
      <c r="N36" s="3" t="s">
        <v>110</v>
      </c>
      <c r="O36" s="3">
        <v>5.66</v>
      </c>
      <c r="P36" s="3" t="s">
        <v>47</v>
      </c>
      <c r="Q36" s="3" t="s">
        <v>47</v>
      </c>
      <c r="R36" s="461">
        <v>3.21</v>
      </c>
      <c r="S36" s="4">
        <v>8.8699999999999992</v>
      </c>
      <c r="T36" s="792" t="s">
        <v>179</v>
      </c>
      <c r="U36" s="892">
        <v>32</v>
      </c>
      <c r="V36" s="897" t="s">
        <v>10</v>
      </c>
      <c r="W36" s="901">
        <v>150</v>
      </c>
      <c r="X36" s="901"/>
      <c r="Y36" s="901">
        <v>70</v>
      </c>
      <c r="Z36" s="901"/>
      <c r="AA36" s="901"/>
      <c r="AB36" s="901">
        <v>500</v>
      </c>
      <c r="AC36" s="901">
        <v>500</v>
      </c>
      <c r="AD36" s="901">
        <f>SUM(W36:AC36)</f>
        <v>1220</v>
      </c>
      <c r="AE36" s="897" t="s">
        <v>179</v>
      </c>
      <c r="AF36" s="892">
        <v>32</v>
      </c>
      <c r="AG36" s="897" t="s">
        <v>10</v>
      </c>
      <c r="AH36" s="901">
        <v>150</v>
      </c>
      <c r="AI36" s="901"/>
      <c r="AJ36" s="901">
        <v>75</v>
      </c>
      <c r="AK36" s="901"/>
      <c r="AL36" s="901"/>
      <c r="AM36" s="901">
        <v>600</v>
      </c>
      <c r="AN36" s="901">
        <v>600</v>
      </c>
      <c r="AO36" s="901">
        <f t="shared" si="4"/>
        <v>1425</v>
      </c>
      <c r="AP36" s="900" t="s">
        <v>179</v>
      </c>
      <c r="AQ36" s="1376">
        <v>32</v>
      </c>
      <c r="AR36" s="897" t="s">
        <v>179</v>
      </c>
      <c r="AS36" s="899"/>
      <c r="AT36" s="898"/>
      <c r="AU36" s="898"/>
      <c r="AV36" s="898"/>
      <c r="AW36" s="898"/>
      <c r="AX36" s="898">
        <v>600</v>
      </c>
      <c r="AY36" s="898">
        <v>600</v>
      </c>
      <c r="AZ36" s="898">
        <f t="shared" si="5"/>
        <v>1200</v>
      </c>
      <c r="BA36" s="1377" t="s">
        <v>10</v>
      </c>
    </row>
    <row r="37" spans="1:53">
      <c r="A37" s="893"/>
      <c r="B37" s="893" t="s">
        <v>0</v>
      </c>
      <c r="C37" s="896">
        <f t="shared" ref="C37:I37" si="6">SUM(C5:C36)</f>
        <v>244.08699999999996</v>
      </c>
      <c r="D37" s="896">
        <f t="shared" si="6"/>
        <v>1717.2399999999998</v>
      </c>
      <c r="E37" s="896">
        <f t="shared" si="6"/>
        <v>100.32</v>
      </c>
      <c r="F37" s="896">
        <f t="shared" si="6"/>
        <v>40.465000000000003</v>
      </c>
      <c r="G37" s="896">
        <f t="shared" si="6"/>
        <v>597.11200000000008</v>
      </c>
      <c r="H37" s="895">
        <f t="shared" si="6"/>
        <v>103.15729999999999</v>
      </c>
      <c r="I37" s="894">
        <f t="shared" si="6"/>
        <v>2802.3812999999996</v>
      </c>
      <c r="J37" s="893" t="s">
        <v>180</v>
      </c>
      <c r="K37" s="893"/>
      <c r="L37" s="5" t="s">
        <v>0</v>
      </c>
      <c r="M37" s="4">
        <f t="shared" ref="M37:S37" si="7">SUM(M5:M36)</f>
        <v>377.35999999999996</v>
      </c>
      <c r="N37" s="4">
        <f t="shared" si="7"/>
        <v>1885.9199999999998</v>
      </c>
      <c r="O37" s="4">
        <f t="shared" si="7"/>
        <v>110.46000000000001</v>
      </c>
      <c r="P37" s="4">
        <f t="shared" si="7"/>
        <v>775.01000000000022</v>
      </c>
      <c r="Q37" s="4">
        <f t="shared" si="7"/>
        <v>5.9009999999999989</v>
      </c>
      <c r="R37" s="4">
        <f t="shared" si="7"/>
        <v>232.54999999999993</v>
      </c>
      <c r="S37" s="4">
        <f t="shared" si="7"/>
        <v>3387.2009999999996</v>
      </c>
      <c r="T37" s="893" t="s">
        <v>180</v>
      </c>
      <c r="U37" s="892"/>
      <c r="V37" s="891" t="s">
        <v>0</v>
      </c>
      <c r="W37" s="890">
        <f t="shared" ref="W37:AC37" si="8">SUM(W5:W36)</f>
        <v>311466.67999999993</v>
      </c>
      <c r="X37" s="890">
        <f t="shared" si="8"/>
        <v>249653.81000000003</v>
      </c>
      <c r="Y37" s="890">
        <f t="shared" si="8"/>
        <v>747968.15699999989</v>
      </c>
      <c r="Z37" s="890">
        <f t="shared" si="8"/>
        <v>82882.960000000006</v>
      </c>
      <c r="AA37" s="890">
        <f t="shared" si="8"/>
        <v>31750.745000000003</v>
      </c>
      <c r="AB37" s="890">
        <f t="shared" si="8"/>
        <v>1066375</v>
      </c>
      <c r="AC37" s="890">
        <f t="shared" si="8"/>
        <v>38610877</v>
      </c>
      <c r="AD37" s="890">
        <f>SUM(W37:AC37)</f>
        <v>41100974.351999998</v>
      </c>
      <c r="AE37" s="891" t="s">
        <v>180</v>
      </c>
      <c r="AF37" s="892"/>
      <c r="AG37" s="891" t="s">
        <v>0</v>
      </c>
      <c r="AH37" s="890">
        <f t="shared" ref="AH37:AN37" si="9">SUM(AH5:AH36)</f>
        <v>408020.67000000004</v>
      </c>
      <c r="AI37" s="890">
        <f t="shared" si="9"/>
        <v>3097058.5999999996</v>
      </c>
      <c r="AJ37" s="890">
        <f t="shared" si="9"/>
        <v>2660438.2909999993</v>
      </c>
      <c r="AK37" s="890">
        <f t="shared" si="9"/>
        <v>91714.991899999979</v>
      </c>
      <c r="AL37" s="890">
        <f t="shared" si="9"/>
        <v>39004.172999999995</v>
      </c>
      <c r="AM37" s="890">
        <f t="shared" si="9"/>
        <v>6017015.1859999998</v>
      </c>
      <c r="AN37" s="890">
        <f t="shared" si="9"/>
        <v>48280851.93</v>
      </c>
      <c r="AO37" s="890">
        <f t="shared" si="4"/>
        <v>60594103.841899998</v>
      </c>
      <c r="AP37" s="889" t="s">
        <v>180</v>
      </c>
      <c r="AQ37" s="2300" t="s">
        <v>0</v>
      </c>
      <c r="AR37" s="2301"/>
      <c r="AS37" s="888">
        <v>406876.66</v>
      </c>
      <c r="AT37" s="887">
        <v>1365507.57</v>
      </c>
      <c r="AU37" s="887">
        <v>373360.33480000001</v>
      </c>
      <c r="AV37" s="887">
        <v>132772.88159999999</v>
      </c>
      <c r="AW37" s="887">
        <v>53077.033000000003</v>
      </c>
      <c r="AX37" s="887">
        <v>1869847.6</v>
      </c>
      <c r="AY37" s="887">
        <v>38742226.579999998</v>
      </c>
      <c r="AZ37" s="887">
        <f t="shared" si="5"/>
        <v>42943668.659400001</v>
      </c>
      <c r="BA37" s="886" t="s">
        <v>180</v>
      </c>
    </row>
    <row r="38" spans="1:53">
      <c r="A38" s="6"/>
      <c r="B38" s="6"/>
      <c r="C38" s="885"/>
      <c r="D38" s="885"/>
      <c r="E38" s="885"/>
      <c r="F38" s="885"/>
      <c r="G38" s="885"/>
      <c r="H38" s="884"/>
      <c r="I38" s="883"/>
      <c r="J38" s="6"/>
      <c r="K38" s="6"/>
      <c r="L38" s="7"/>
      <c r="M38" s="384"/>
      <c r="N38" s="384"/>
      <c r="O38" s="384"/>
      <c r="P38" s="384"/>
      <c r="Q38" s="384"/>
      <c r="R38" s="384"/>
      <c r="S38" s="384"/>
      <c r="T38" s="6"/>
      <c r="U38" s="451"/>
      <c r="W38" s="451"/>
      <c r="X38" s="451"/>
      <c r="Y38" s="451"/>
      <c r="Z38" s="451"/>
      <c r="AA38" s="451"/>
      <c r="AB38" s="451"/>
      <c r="AC38" s="451"/>
      <c r="AD38" s="451"/>
      <c r="AQ38" s="882" t="s">
        <v>1778</v>
      </c>
      <c r="BA38" s="208"/>
    </row>
    <row r="39" spans="1:53" ht="15" customHeight="1" thickBot="1">
      <c r="A39" s="2269" t="s">
        <v>1777</v>
      </c>
      <c r="B39" s="2269"/>
      <c r="C39" s="2269"/>
      <c r="D39" s="2269"/>
      <c r="E39" s="2269"/>
      <c r="F39" s="2269"/>
      <c r="G39" s="2269"/>
      <c r="H39" s="2269"/>
      <c r="I39" s="2269"/>
      <c r="L39" s="2269" t="s">
        <v>1777</v>
      </c>
      <c r="M39" s="2269"/>
      <c r="N39" s="2269"/>
      <c r="O39" s="2269"/>
      <c r="P39" s="2269"/>
      <c r="Q39" s="2269"/>
      <c r="R39" s="2269"/>
      <c r="S39" s="2269"/>
      <c r="T39" s="2269"/>
      <c r="U39" s="451"/>
      <c r="V39" s="2269" t="s">
        <v>1776</v>
      </c>
      <c r="W39" s="2269"/>
      <c r="X39" s="2269"/>
      <c r="Y39" s="2269"/>
      <c r="Z39" s="2269"/>
      <c r="AA39" s="2269"/>
      <c r="AB39" s="2269"/>
      <c r="AC39" s="2269"/>
      <c r="AD39" s="2269"/>
      <c r="AE39" s="2269"/>
      <c r="AG39" s="2269" t="s">
        <v>1775</v>
      </c>
      <c r="AH39" s="2269"/>
      <c r="AI39" s="2269"/>
      <c r="AJ39" s="2269"/>
      <c r="AK39" s="2269"/>
      <c r="AL39" s="2269"/>
      <c r="AM39" s="2269"/>
      <c r="AN39" s="2269"/>
      <c r="AO39" s="2269"/>
      <c r="AQ39" s="205" t="s">
        <v>1775</v>
      </c>
      <c r="AR39" s="206"/>
      <c r="AS39" s="206"/>
      <c r="AT39" s="206"/>
      <c r="AU39" s="206"/>
      <c r="AV39" s="206"/>
      <c r="AW39" s="206"/>
      <c r="AX39" s="206"/>
      <c r="AY39" s="206" t="s">
        <v>1774</v>
      </c>
      <c r="AZ39" s="206"/>
      <c r="BA39" s="168"/>
    </row>
    <row r="40" spans="1:53" ht="15.75" thickTop="1">
      <c r="A40" s="1" t="s">
        <v>1773</v>
      </c>
      <c r="I40" s="451" t="s">
        <v>1771</v>
      </c>
      <c r="L40" s="1" t="s">
        <v>1772</v>
      </c>
      <c r="S40" s="2235" t="s">
        <v>1771</v>
      </c>
      <c r="T40" s="2235"/>
      <c r="V40" s="1" t="s">
        <v>1409</v>
      </c>
      <c r="AG40" s="1" t="s">
        <v>1409</v>
      </c>
    </row>
    <row r="41" spans="1:53">
      <c r="A41" s="1" t="s">
        <v>1409</v>
      </c>
      <c r="B41" s="754"/>
      <c r="C41" s="754"/>
      <c r="D41" s="754"/>
      <c r="E41" s="754"/>
      <c r="F41" s="754"/>
      <c r="G41" s="754"/>
      <c r="H41" s="754"/>
      <c r="I41" s="754"/>
      <c r="L41" s="1" t="s">
        <v>1409</v>
      </c>
    </row>
    <row r="42" spans="1:53">
      <c r="W42" s="1" t="s">
        <v>1770</v>
      </c>
    </row>
  </sheetData>
  <mergeCells count="16">
    <mergeCell ref="V39:AE39"/>
    <mergeCell ref="AG39:AO39"/>
    <mergeCell ref="AQ37:AR37"/>
    <mergeCell ref="S40:T40"/>
    <mergeCell ref="A1:I1"/>
    <mergeCell ref="A39:I39"/>
    <mergeCell ref="L1:T1"/>
    <mergeCell ref="L2:T2"/>
    <mergeCell ref="L39:T39"/>
    <mergeCell ref="A2:J2"/>
    <mergeCell ref="AQ1:BA1"/>
    <mergeCell ref="AQ2:BA2"/>
    <mergeCell ref="U1:AE1"/>
    <mergeCell ref="AF1:AP1"/>
    <mergeCell ref="U2:AE2"/>
    <mergeCell ref="AF2:AP2"/>
  </mergeCells>
  <conditionalFormatting sqref="AQ5:BA37">
    <cfRule type="expression" dxfId="46" priority="1">
      <formula>MOD(ROW(),3)=1</formula>
    </cfRule>
  </conditionalFormatting>
  <printOptions horizontalCentered="1"/>
  <pageMargins left="0.66929133858267698" right="0.15748031496063" top="0.19" bottom="0" header="0.4" footer="0"/>
  <pageSetup paperSize="9" scale="84" fitToWidth="0" fitToHeight="0" orientation="landscape" r:id="rId1"/>
  <colBreaks count="3" manualBreakCount="3">
    <brk id="10" max="41" man="1"/>
    <brk id="20" max="41" man="1"/>
    <brk id="31" max="40" man="1"/>
  </colBreaks>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D14C6-F6C8-422D-8DC9-AF607FEE1FA3}">
  <dimension ref="A1:AF60"/>
  <sheetViews>
    <sheetView view="pageBreakPreview" zoomScaleSheetLayoutView="100" workbookViewId="0">
      <selection activeCell="S17" sqref="S17"/>
    </sheetView>
  </sheetViews>
  <sheetFormatPr defaultColWidth="9.140625" defaultRowHeight="15"/>
  <cols>
    <col min="1" max="1" width="8.7109375" customWidth="1"/>
    <col min="2" max="2" width="21.85546875" customWidth="1"/>
    <col min="3" max="3" width="12.28515625" hidden="1" customWidth="1"/>
    <col min="4" max="6" width="15.28515625" hidden="1" customWidth="1"/>
    <col min="7" max="7" width="10.5703125" hidden="1" customWidth="1"/>
    <col min="8" max="8" width="9.140625" hidden="1" customWidth="1"/>
    <col min="9" max="9" width="10.85546875" customWidth="1"/>
    <col min="10" max="10" width="9.140625" customWidth="1"/>
    <col min="11" max="11" width="11.5703125" customWidth="1"/>
    <col min="12" max="12" width="10.140625" customWidth="1"/>
    <col min="13" max="13" width="10.85546875" customWidth="1"/>
    <col min="14" max="14" width="10.140625" customWidth="1"/>
    <col min="15" max="15" width="10.7109375" bestFit="1" customWidth="1"/>
    <col min="16" max="20" width="10.140625" customWidth="1"/>
    <col min="21" max="21" width="18" customWidth="1"/>
  </cols>
  <sheetData>
    <row r="1" spans="1:32" s="211" customFormat="1" ht="32.25" customHeight="1" thickTop="1">
      <c r="A1" s="2017" t="s">
        <v>2786</v>
      </c>
      <c r="B1" s="2018"/>
      <c r="C1" s="2018"/>
      <c r="D1" s="2018"/>
      <c r="E1" s="2018"/>
      <c r="F1" s="2018"/>
      <c r="G1" s="2018"/>
      <c r="H1" s="2018"/>
      <c r="I1" s="2018"/>
      <c r="J1" s="2018"/>
      <c r="K1" s="2018"/>
      <c r="L1" s="2018"/>
      <c r="M1" s="2018"/>
      <c r="N1" s="2018"/>
      <c r="O1" s="2018"/>
      <c r="P1" s="2018"/>
      <c r="Q1" s="2018"/>
      <c r="R1" s="2018"/>
      <c r="S1" s="2018"/>
      <c r="T1" s="2018"/>
      <c r="U1" s="2019"/>
    </row>
    <row r="2" spans="1:32" s="211" customFormat="1" ht="32.25" customHeight="1">
      <c r="A2" s="2313" t="s">
        <v>2787</v>
      </c>
      <c r="B2" s="2314"/>
      <c r="C2" s="2314"/>
      <c r="D2" s="2314"/>
      <c r="E2" s="2314"/>
      <c r="F2" s="2314"/>
      <c r="G2" s="2314"/>
      <c r="H2" s="2314"/>
      <c r="I2" s="2314"/>
      <c r="J2" s="2314"/>
      <c r="K2" s="2314"/>
      <c r="L2" s="2314"/>
      <c r="M2" s="2314"/>
      <c r="N2" s="2314"/>
      <c r="O2" s="2314"/>
      <c r="P2" s="2314"/>
      <c r="Q2" s="2314"/>
      <c r="R2" s="2314"/>
      <c r="S2" s="2314"/>
      <c r="T2" s="2314"/>
      <c r="U2" s="2315"/>
    </row>
    <row r="3" spans="1:32" s="211" customFormat="1" ht="18.75" customHeight="1">
      <c r="A3" s="1378"/>
      <c r="B3" s="1379"/>
      <c r="C3" s="1379"/>
      <c r="D3" s="1379"/>
      <c r="E3" s="1379"/>
      <c r="F3" s="1379"/>
      <c r="G3" s="1379"/>
      <c r="H3" s="1379"/>
      <c r="I3" s="1379"/>
      <c r="J3" s="1379"/>
      <c r="K3" s="1379"/>
      <c r="L3" s="1379"/>
      <c r="M3" s="1379"/>
      <c r="N3" s="1379"/>
      <c r="O3" s="1379"/>
      <c r="P3" s="1379"/>
      <c r="Q3" s="1379"/>
      <c r="R3" s="1379"/>
      <c r="S3" s="1379"/>
      <c r="T3" s="1379"/>
      <c r="U3" s="1380"/>
    </row>
    <row r="4" spans="1:32" s="93" customFormat="1" ht="55.5" customHeight="1">
      <c r="A4" s="2323" t="s">
        <v>688</v>
      </c>
      <c r="B4" s="2316" t="s">
        <v>49</v>
      </c>
      <c r="C4" s="2324" t="s">
        <v>1864</v>
      </c>
      <c r="D4" s="2324"/>
      <c r="E4" s="2324"/>
      <c r="F4" s="2324"/>
      <c r="G4" s="2324"/>
      <c r="H4" s="2324"/>
      <c r="I4" s="2324"/>
      <c r="J4" s="2324"/>
      <c r="K4" s="2324"/>
      <c r="L4" s="2324"/>
      <c r="M4" s="2324"/>
      <c r="N4" s="2324"/>
      <c r="O4" s="2324"/>
      <c r="P4" s="2324"/>
      <c r="Q4" s="2324"/>
      <c r="R4" s="2324"/>
      <c r="S4" s="2324"/>
      <c r="T4" s="2324"/>
      <c r="U4" s="2322" t="s">
        <v>141</v>
      </c>
      <c r="AF4" s="753" t="s">
        <v>520</v>
      </c>
    </row>
    <row r="5" spans="1:32" s="93" customFormat="1" ht="26.25" customHeight="1">
      <c r="A5" s="2323"/>
      <c r="B5" s="2316"/>
      <c r="C5" s="1714" t="s">
        <v>1</v>
      </c>
      <c r="D5" s="1714" t="s">
        <v>2</v>
      </c>
      <c r="E5" s="1714" t="s">
        <v>3</v>
      </c>
      <c r="F5" s="1714" t="s">
        <v>13</v>
      </c>
      <c r="G5" s="2316" t="s">
        <v>41</v>
      </c>
      <c r="H5" s="2316"/>
      <c r="I5" s="2316" t="s">
        <v>42</v>
      </c>
      <c r="J5" s="2316"/>
      <c r="K5" s="2316" t="s">
        <v>129</v>
      </c>
      <c r="L5" s="2316"/>
      <c r="M5" s="2316" t="s">
        <v>142</v>
      </c>
      <c r="N5" s="2316"/>
      <c r="O5" s="2316" t="s">
        <v>276</v>
      </c>
      <c r="P5" s="2316"/>
      <c r="Q5" s="2316" t="s">
        <v>522</v>
      </c>
      <c r="R5" s="2316"/>
      <c r="S5" s="2316" t="s">
        <v>652</v>
      </c>
      <c r="T5" s="2316"/>
      <c r="U5" s="2322"/>
    </row>
    <row r="6" spans="1:32" s="93" customFormat="1" ht="120.75" customHeight="1">
      <c r="A6" s="2323"/>
      <c r="B6" s="2316"/>
      <c r="C6" s="1162" t="s">
        <v>1863</v>
      </c>
      <c r="D6" s="1162" t="s">
        <v>1863</v>
      </c>
      <c r="E6" s="1162" t="s">
        <v>1863</v>
      </c>
      <c r="F6" s="1162" t="s">
        <v>1862</v>
      </c>
      <c r="G6" s="1162" t="s">
        <v>1861</v>
      </c>
      <c r="H6" s="1162" t="s">
        <v>1860</v>
      </c>
      <c r="I6" s="111" t="s">
        <v>1859</v>
      </c>
      <c r="J6" s="111" t="s">
        <v>1858</v>
      </c>
      <c r="K6" s="111" t="s">
        <v>1859</v>
      </c>
      <c r="L6" s="111" t="s">
        <v>1858</v>
      </c>
      <c r="M6" s="111" t="s">
        <v>1859</v>
      </c>
      <c r="N6" s="111" t="s">
        <v>1858</v>
      </c>
      <c r="O6" s="111" t="s">
        <v>1859</v>
      </c>
      <c r="P6" s="111" t="s">
        <v>1858</v>
      </c>
      <c r="Q6" s="111" t="s">
        <v>1859</v>
      </c>
      <c r="R6" s="111" t="s">
        <v>1858</v>
      </c>
      <c r="S6" s="111" t="s">
        <v>1859</v>
      </c>
      <c r="T6" s="111" t="s">
        <v>1858</v>
      </c>
      <c r="U6" s="2322"/>
    </row>
    <row r="7" spans="1:32" s="9" customFormat="1" ht="20.25" customHeight="1">
      <c r="A7" s="2320" t="s">
        <v>1857</v>
      </c>
      <c r="B7" s="2321"/>
      <c r="C7" s="1715"/>
      <c r="D7" s="1715"/>
      <c r="E7" s="1715"/>
      <c r="F7" s="1715"/>
      <c r="G7" s="1716"/>
      <c r="H7" s="1716"/>
      <c r="I7" s="1716"/>
      <c r="J7" s="1716"/>
      <c r="K7" s="1715"/>
      <c r="L7" s="1715"/>
      <c r="M7" s="1715"/>
      <c r="N7" s="1715"/>
      <c r="O7" s="1715"/>
      <c r="P7" s="1715"/>
      <c r="Q7" s="1715"/>
      <c r="R7" s="1715"/>
      <c r="S7" s="1715"/>
      <c r="T7" s="1715"/>
      <c r="U7" s="922" t="s">
        <v>1856</v>
      </c>
    </row>
    <row r="8" spans="1:32" s="9" customFormat="1" ht="40.5" customHeight="1">
      <c r="A8" s="198">
        <v>1</v>
      </c>
      <c r="B8" s="1717" t="s">
        <v>174</v>
      </c>
      <c r="C8" s="1718">
        <v>0</v>
      </c>
      <c r="D8" s="28">
        <v>0</v>
      </c>
      <c r="E8" s="28">
        <v>0</v>
      </c>
      <c r="F8" s="28">
        <v>0</v>
      </c>
      <c r="G8" s="28"/>
      <c r="H8" s="28"/>
      <c r="I8" s="28"/>
      <c r="J8" s="28"/>
      <c r="K8" s="28"/>
      <c r="L8" s="28"/>
      <c r="M8" s="28"/>
      <c r="N8" s="28"/>
      <c r="O8" s="1719" t="s">
        <v>47</v>
      </c>
      <c r="P8" s="1719" t="s">
        <v>47</v>
      </c>
      <c r="Q8" s="1720" t="s">
        <v>275</v>
      </c>
      <c r="R8" s="1720" t="s">
        <v>275</v>
      </c>
      <c r="S8" s="1720">
        <v>0</v>
      </c>
      <c r="T8" s="1720" t="s">
        <v>275</v>
      </c>
      <c r="U8" s="1381" t="s">
        <v>121</v>
      </c>
    </row>
    <row r="9" spans="1:32" s="9" customFormat="1" ht="23.25" customHeight="1">
      <c r="A9" s="145">
        <v>2</v>
      </c>
      <c r="B9" s="8" t="s">
        <v>1805</v>
      </c>
      <c r="C9" s="1721">
        <v>999.6</v>
      </c>
      <c r="D9" s="1722">
        <v>1126.3499999999999</v>
      </c>
      <c r="E9" s="1722">
        <v>1335.74</v>
      </c>
      <c r="F9" s="1722">
        <v>2714.22</v>
      </c>
      <c r="G9" s="28">
        <v>2668.8</v>
      </c>
      <c r="H9" s="28">
        <v>274.85599999999999</v>
      </c>
      <c r="I9" s="28">
        <v>3062.6</v>
      </c>
      <c r="J9" s="28">
        <v>317.81</v>
      </c>
      <c r="K9" s="1722">
        <v>3375.91</v>
      </c>
      <c r="L9" s="1722">
        <v>365.24</v>
      </c>
      <c r="M9" s="1722">
        <v>4983.6000000000004</v>
      </c>
      <c r="N9" s="1722">
        <v>369.75</v>
      </c>
      <c r="O9" s="1719">
        <v>263.88</v>
      </c>
      <c r="P9" s="1719" t="s">
        <v>47</v>
      </c>
      <c r="Q9" s="1723">
        <v>228.27</v>
      </c>
      <c r="R9" s="1723" t="s">
        <v>275</v>
      </c>
      <c r="S9" s="1723">
        <v>123.19</v>
      </c>
      <c r="T9" s="1723">
        <v>98.49</v>
      </c>
      <c r="U9" s="921" t="s">
        <v>1343</v>
      </c>
    </row>
    <row r="10" spans="1:32" s="9" customFormat="1" ht="23.25" customHeight="1">
      <c r="A10" s="145">
        <v>3</v>
      </c>
      <c r="B10" s="8" t="s">
        <v>177</v>
      </c>
      <c r="C10" s="1721">
        <v>0</v>
      </c>
      <c r="D10" s="1722">
        <v>0</v>
      </c>
      <c r="E10" s="1722"/>
      <c r="F10" s="1722">
        <v>0</v>
      </c>
      <c r="G10" s="28">
        <v>0</v>
      </c>
      <c r="H10" s="28">
        <v>0</v>
      </c>
      <c r="I10" s="28">
        <v>0</v>
      </c>
      <c r="J10" s="28">
        <v>0</v>
      </c>
      <c r="K10" s="1722">
        <v>0</v>
      </c>
      <c r="L10" s="1722">
        <v>0</v>
      </c>
      <c r="M10" s="1722">
        <v>0</v>
      </c>
      <c r="N10" s="1722">
        <v>0</v>
      </c>
      <c r="O10" s="1719" t="s">
        <v>47</v>
      </c>
      <c r="P10" s="1719" t="s">
        <v>47</v>
      </c>
      <c r="Q10" s="1723" t="s">
        <v>275</v>
      </c>
      <c r="R10" s="1723" t="s">
        <v>275</v>
      </c>
      <c r="S10" s="1720">
        <v>0</v>
      </c>
      <c r="T10" s="1720" t="s">
        <v>275</v>
      </c>
      <c r="U10" s="921" t="s">
        <v>4</v>
      </c>
    </row>
    <row r="11" spans="1:32" s="9" customFormat="1" ht="23.25" customHeight="1">
      <c r="A11" s="198">
        <v>4</v>
      </c>
      <c r="B11" s="8" t="s">
        <v>1793</v>
      </c>
      <c r="C11" s="1721">
        <v>6930</v>
      </c>
      <c r="D11" s="1722">
        <v>5760.32</v>
      </c>
      <c r="E11" s="1722">
        <v>7683.72</v>
      </c>
      <c r="F11" s="1722">
        <v>9907.33</v>
      </c>
      <c r="G11" s="28">
        <v>16462.62</v>
      </c>
      <c r="H11" s="28">
        <v>23.06</v>
      </c>
      <c r="I11" s="28">
        <v>23042.91</v>
      </c>
      <c r="J11" s="28">
        <v>488.14</v>
      </c>
      <c r="K11" s="1722">
        <v>31553.06</v>
      </c>
      <c r="L11" s="1722">
        <v>993.44299999999998</v>
      </c>
      <c r="M11" s="1722">
        <v>34493</v>
      </c>
      <c r="N11" s="1722">
        <v>1352.85</v>
      </c>
      <c r="O11" s="1719">
        <v>3253.7</v>
      </c>
      <c r="P11" s="1719">
        <v>758.19</v>
      </c>
      <c r="Q11" s="1723">
        <v>3606.72</v>
      </c>
      <c r="R11" s="1723">
        <v>1218</v>
      </c>
      <c r="S11" s="1723">
        <v>1446.5</v>
      </c>
      <c r="T11" s="1723">
        <v>870.53</v>
      </c>
      <c r="U11" s="921" t="s">
        <v>1365</v>
      </c>
    </row>
    <row r="12" spans="1:32" s="9" customFormat="1" ht="23.25" customHeight="1">
      <c r="A12" s="145">
        <v>5</v>
      </c>
      <c r="B12" s="8" t="s">
        <v>157</v>
      </c>
      <c r="C12" s="1721">
        <v>3257</v>
      </c>
      <c r="D12" s="1722">
        <v>904.17</v>
      </c>
      <c r="E12" s="1722">
        <v>1045.6400000000001</v>
      </c>
      <c r="F12" s="1722">
        <v>3520.66</v>
      </c>
      <c r="G12" s="28">
        <v>4916.97</v>
      </c>
      <c r="H12" s="28">
        <v>10.51</v>
      </c>
      <c r="I12" s="1722">
        <v>4926.0450000000001</v>
      </c>
      <c r="J12" s="28">
        <v>56.58</v>
      </c>
      <c r="K12" s="1722">
        <v>4993.8692000000001</v>
      </c>
      <c r="L12" s="1722">
        <v>59.6143</v>
      </c>
      <c r="M12" s="1722">
        <v>6040.1</v>
      </c>
      <c r="N12" s="1722">
        <v>82.85</v>
      </c>
      <c r="O12" s="1719">
        <v>108.24</v>
      </c>
      <c r="P12" s="1719">
        <v>2.0979999999999999</v>
      </c>
      <c r="Q12" s="1723">
        <v>91.028999999999996</v>
      </c>
      <c r="R12" s="1723">
        <v>5512.14</v>
      </c>
      <c r="S12" s="1723">
        <v>164.99</v>
      </c>
      <c r="T12" s="1723">
        <v>2612</v>
      </c>
      <c r="U12" s="921" t="s">
        <v>6</v>
      </c>
    </row>
    <row r="13" spans="1:32" s="9" customFormat="1" ht="23.25" customHeight="1">
      <c r="A13" s="145">
        <v>6</v>
      </c>
      <c r="B13" s="8" t="s">
        <v>178</v>
      </c>
      <c r="C13" s="1721">
        <v>0</v>
      </c>
      <c r="D13" s="1722">
        <v>0</v>
      </c>
      <c r="E13" s="1722"/>
      <c r="F13" s="1722">
        <v>0</v>
      </c>
      <c r="G13" s="28">
        <v>0</v>
      </c>
      <c r="H13" s="28">
        <v>0</v>
      </c>
      <c r="I13" s="28">
        <v>0</v>
      </c>
      <c r="J13" s="28">
        <v>0</v>
      </c>
      <c r="K13" s="1722">
        <v>0</v>
      </c>
      <c r="L13" s="1722">
        <v>0</v>
      </c>
      <c r="M13" s="1722">
        <v>0</v>
      </c>
      <c r="N13" s="1722">
        <v>0</v>
      </c>
      <c r="O13" s="1719" t="s">
        <v>47</v>
      </c>
      <c r="P13" s="1719" t="s">
        <v>47</v>
      </c>
      <c r="Q13" s="1723" t="s">
        <v>275</v>
      </c>
      <c r="R13" s="1723" t="s">
        <v>275</v>
      </c>
      <c r="S13" s="1720">
        <v>0</v>
      </c>
      <c r="T13" s="1720" t="s">
        <v>275</v>
      </c>
      <c r="U13" s="921" t="s">
        <v>7</v>
      </c>
    </row>
    <row r="14" spans="1:32" s="9" customFormat="1" ht="23.25" customHeight="1">
      <c r="A14" s="198">
        <v>7</v>
      </c>
      <c r="B14" s="8" t="s">
        <v>179</v>
      </c>
      <c r="C14" s="1721">
        <v>783</v>
      </c>
      <c r="D14" s="1722">
        <v>509.45</v>
      </c>
      <c r="E14" s="1722">
        <v>621</v>
      </c>
      <c r="F14" s="1722">
        <v>516.98</v>
      </c>
      <c r="G14" s="28">
        <v>560.95000000000005</v>
      </c>
      <c r="H14" s="28">
        <v>1.49</v>
      </c>
      <c r="I14" s="28">
        <v>283.64</v>
      </c>
      <c r="J14" s="28">
        <v>4.09</v>
      </c>
      <c r="K14" s="1722">
        <v>203.96600000000001</v>
      </c>
      <c r="L14" s="1722">
        <v>11.196999999999999</v>
      </c>
      <c r="M14" s="1722">
        <v>297.58</v>
      </c>
      <c r="N14" s="1722">
        <v>28.37</v>
      </c>
      <c r="O14" s="1719">
        <v>121.9</v>
      </c>
      <c r="P14" s="1719">
        <v>6.1920000000000002</v>
      </c>
      <c r="Q14" s="1723">
        <v>121.9</v>
      </c>
      <c r="R14" s="1723">
        <v>7.57</v>
      </c>
      <c r="S14" s="1723">
        <v>97.17</v>
      </c>
      <c r="T14" s="1723">
        <v>2.16</v>
      </c>
      <c r="U14" s="921" t="s">
        <v>10</v>
      </c>
    </row>
    <row r="15" spans="1:32" s="9" customFormat="1" ht="23.25" customHeight="1">
      <c r="A15" s="145">
        <v>8</v>
      </c>
      <c r="B15" s="8" t="s">
        <v>1784</v>
      </c>
      <c r="C15" s="1721">
        <v>8691</v>
      </c>
      <c r="D15" s="1722">
        <v>3373.81</v>
      </c>
      <c r="E15" s="1722">
        <v>11575.7</v>
      </c>
      <c r="F15" s="1722">
        <v>14104.8</v>
      </c>
      <c r="G15" s="28">
        <v>15373.29</v>
      </c>
      <c r="H15" s="28">
        <v>11.3</v>
      </c>
      <c r="I15" s="28">
        <v>23721.21</v>
      </c>
      <c r="J15" s="28">
        <v>861.95</v>
      </c>
      <c r="K15" s="1722">
        <v>27427.962</v>
      </c>
      <c r="L15" s="1722">
        <v>875.29200000000003</v>
      </c>
      <c r="M15" s="1722">
        <v>28059.4</v>
      </c>
      <c r="N15" s="1722">
        <v>983.86</v>
      </c>
      <c r="O15" s="1719">
        <v>4187.2430000000004</v>
      </c>
      <c r="P15" s="1719">
        <v>536.78399999999999</v>
      </c>
      <c r="Q15" s="1723">
        <v>11611</v>
      </c>
      <c r="R15" s="1723">
        <v>1481.59</v>
      </c>
      <c r="S15" s="1723">
        <v>88652.43</v>
      </c>
      <c r="T15" s="1723">
        <v>434.31299999999999</v>
      </c>
      <c r="U15" s="921" t="s">
        <v>1358</v>
      </c>
    </row>
    <row r="16" spans="1:32" s="9" customFormat="1" ht="23.25" customHeight="1">
      <c r="A16" s="145">
        <v>9</v>
      </c>
      <c r="B16" s="8" t="s">
        <v>169</v>
      </c>
      <c r="C16" s="1721"/>
      <c r="D16" s="1722"/>
      <c r="E16" s="1722"/>
      <c r="F16" s="1722"/>
      <c r="G16" s="28"/>
      <c r="H16" s="28"/>
      <c r="I16" s="28"/>
      <c r="J16" s="28"/>
      <c r="K16" s="1722"/>
      <c r="L16" s="1722"/>
      <c r="M16" s="1722">
        <v>574.15</v>
      </c>
      <c r="N16" s="1722">
        <v>43.66</v>
      </c>
      <c r="O16" s="1719">
        <v>2556.29</v>
      </c>
      <c r="P16" s="1719">
        <v>12711.74</v>
      </c>
      <c r="Q16" s="1723">
        <v>1536.3340000000001</v>
      </c>
      <c r="R16" s="1723">
        <v>174.75</v>
      </c>
      <c r="S16" s="1723">
        <v>448.72</v>
      </c>
      <c r="T16" s="1723">
        <v>150.13999999999999</v>
      </c>
      <c r="U16" s="921" t="s">
        <v>1607</v>
      </c>
    </row>
    <row r="17" spans="1:21" s="9" customFormat="1" ht="23.25" customHeight="1">
      <c r="A17" s="2311" t="s">
        <v>1855</v>
      </c>
      <c r="B17" s="2312"/>
      <c r="C17" s="1721"/>
      <c r="D17" s="1722"/>
      <c r="E17" s="1722"/>
      <c r="F17" s="1722"/>
      <c r="G17" s="28"/>
      <c r="H17" s="28"/>
      <c r="I17" s="28"/>
      <c r="J17" s="28"/>
      <c r="K17" s="1722"/>
      <c r="L17" s="1722"/>
      <c r="M17" s="1722"/>
      <c r="N17" s="1722"/>
      <c r="O17" s="1719"/>
      <c r="P17" s="1719"/>
      <c r="Q17" s="1724"/>
      <c r="R17" s="1724"/>
      <c r="S17" s="1724"/>
      <c r="T17" s="1724"/>
      <c r="U17" s="921" t="s">
        <v>1854</v>
      </c>
    </row>
    <row r="18" spans="1:21" s="9" customFormat="1" ht="23.25" customHeight="1">
      <c r="A18" s="145">
        <v>10</v>
      </c>
      <c r="B18" s="8" t="s">
        <v>1804</v>
      </c>
      <c r="C18" s="1721">
        <v>0</v>
      </c>
      <c r="D18" s="1722">
        <v>276.33999999999997</v>
      </c>
      <c r="E18" s="1722">
        <v>501.63</v>
      </c>
      <c r="F18" s="1722">
        <v>712.07</v>
      </c>
      <c r="G18" s="28">
        <v>1024.68</v>
      </c>
      <c r="H18" s="28">
        <v>9.6199999999999992</v>
      </c>
      <c r="I18" s="28">
        <v>954.37</v>
      </c>
      <c r="J18" s="28">
        <v>9.3800000000000008</v>
      </c>
      <c r="K18" s="1722">
        <v>955.07399999999996</v>
      </c>
      <c r="L18" s="1722">
        <v>10.23</v>
      </c>
      <c r="M18" s="1722">
        <v>969.07</v>
      </c>
      <c r="N18" s="1722">
        <v>16.63</v>
      </c>
      <c r="O18" s="1719">
        <v>172.029</v>
      </c>
      <c r="P18" s="1719">
        <v>133.74</v>
      </c>
      <c r="Q18" s="1723">
        <v>26.77</v>
      </c>
      <c r="R18" s="1723">
        <v>189.64</v>
      </c>
      <c r="S18" s="1723">
        <v>558.88</v>
      </c>
      <c r="T18" s="1723">
        <v>268.68</v>
      </c>
      <c r="U18" s="921" t="s">
        <v>857</v>
      </c>
    </row>
    <row r="19" spans="1:21" s="9" customFormat="1" ht="23.25" customHeight="1">
      <c r="A19" s="145">
        <v>11</v>
      </c>
      <c r="B19" s="8" t="s">
        <v>1801</v>
      </c>
      <c r="C19" s="1721">
        <v>6318</v>
      </c>
      <c r="D19" s="1722">
        <v>2037.35</v>
      </c>
      <c r="E19" s="1722">
        <v>978.48</v>
      </c>
      <c r="F19" s="1722">
        <v>6411.43</v>
      </c>
      <c r="G19" s="28">
        <v>3667.93</v>
      </c>
      <c r="H19" s="28">
        <v>2800.5</v>
      </c>
      <c r="I19" s="28">
        <v>3963.42</v>
      </c>
      <c r="J19" s="28">
        <v>2873.3</v>
      </c>
      <c r="K19" s="1722">
        <v>3909.82</v>
      </c>
      <c r="L19" s="1722">
        <v>2857.77</v>
      </c>
      <c r="M19" s="1722">
        <v>4248.1499999999996</v>
      </c>
      <c r="N19" s="1722">
        <v>3519.29</v>
      </c>
      <c r="O19" s="1719">
        <v>10596</v>
      </c>
      <c r="P19" s="1719">
        <v>430.529</v>
      </c>
      <c r="Q19" s="1723">
        <v>20788</v>
      </c>
      <c r="R19" s="1723">
        <v>9444</v>
      </c>
      <c r="S19" s="1723">
        <v>19483.310000000001</v>
      </c>
      <c r="T19" s="1723">
        <v>8055.72</v>
      </c>
      <c r="U19" s="921" t="s">
        <v>1800</v>
      </c>
    </row>
    <row r="20" spans="1:21" s="9" customFormat="1" ht="23.25" customHeight="1">
      <c r="A20" s="145">
        <v>12</v>
      </c>
      <c r="B20" s="8" t="s">
        <v>1803</v>
      </c>
      <c r="C20" s="1721">
        <v>443.4</v>
      </c>
      <c r="D20" s="1722">
        <v>0</v>
      </c>
      <c r="E20" s="1722">
        <v>370</v>
      </c>
      <c r="F20" s="1722">
        <v>66.260000000000005</v>
      </c>
      <c r="G20" s="28">
        <v>802.52</v>
      </c>
      <c r="H20" s="28">
        <v>0</v>
      </c>
      <c r="I20" s="28">
        <v>820.52</v>
      </c>
      <c r="J20" s="28">
        <v>0</v>
      </c>
      <c r="K20" s="1722">
        <v>822</v>
      </c>
      <c r="L20" s="1722">
        <v>0</v>
      </c>
      <c r="M20" s="1722">
        <v>838.74</v>
      </c>
      <c r="N20" s="1722" t="s">
        <v>47</v>
      </c>
      <c r="O20" s="1719">
        <v>2044</v>
      </c>
      <c r="P20" s="1719" t="s">
        <v>47</v>
      </c>
      <c r="Q20" s="1723">
        <v>50</v>
      </c>
      <c r="R20" s="1723" t="s">
        <v>275</v>
      </c>
      <c r="S20" s="1723">
        <v>30</v>
      </c>
      <c r="T20" s="1720" t="s">
        <v>275</v>
      </c>
      <c r="U20" s="921" t="s">
        <v>1802</v>
      </c>
    </row>
    <row r="21" spans="1:21" s="9" customFormat="1" ht="23.25" customHeight="1">
      <c r="A21" s="145">
        <v>13</v>
      </c>
      <c r="B21" s="8" t="s">
        <v>1792</v>
      </c>
      <c r="C21" s="1721">
        <v>2455.5700000000002</v>
      </c>
      <c r="D21" s="1722">
        <v>2309.06</v>
      </c>
      <c r="E21" s="1722">
        <v>1408.08</v>
      </c>
      <c r="F21" s="1722">
        <v>4824.1899999999996</v>
      </c>
      <c r="G21" s="28">
        <v>2637.99</v>
      </c>
      <c r="H21" s="28">
        <v>119.22</v>
      </c>
      <c r="I21" s="28">
        <v>2741.31</v>
      </c>
      <c r="J21" s="28">
        <v>131.03</v>
      </c>
      <c r="K21" s="1722">
        <v>5609.0060000000003</v>
      </c>
      <c r="L21" s="1722">
        <v>238.10300000000001</v>
      </c>
      <c r="M21" s="1722">
        <v>6561.51</v>
      </c>
      <c r="N21" s="1722">
        <v>290.39999999999998</v>
      </c>
      <c r="O21" s="1719">
        <v>7426.5169999999998</v>
      </c>
      <c r="P21" s="1719">
        <v>327.19299999999998</v>
      </c>
      <c r="Q21" s="1723">
        <v>1330.0050000000001</v>
      </c>
      <c r="R21" s="1723">
        <v>315.64</v>
      </c>
      <c r="S21" s="1723">
        <v>21834.3</v>
      </c>
      <c r="T21" s="1723">
        <v>15811.1</v>
      </c>
      <c r="U21" s="921" t="s">
        <v>859</v>
      </c>
    </row>
    <row r="22" spans="1:21" s="9" customFormat="1" ht="23.25" customHeight="1">
      <c r="A22" s="145">
        <v>14</v>
      </c>
      <c r="B22" s="8" t="s">
        <v>1791</v>
      </c>
      <c r="C22" s="1721">
        <v>2924</v>
      </c>
      <c r="D22" s="1722">
        <v>8743.69</v>
      </c>
      <c r="E22" s="1722">
        <v>5897.91</v>
      </c>
      <c r="F22" s="1722">
        <v>6218.6</v>
      </c>
      <c r="G22" s="28">
        <v>14847.39</v>
      </c>
      <c r="H22" s="28">
        <v>324.77</v>
      </c>
      <c r="I22" s="28">
        <v>7825.14</v>
      </c>
      <c r="J22" s="28">
        <v>389.66</v>
      </c>
      <c r="K22" s="1722">
        <v>8323.616</v>
      </c>
      <c r="L22" s="1722">
        <v>398.33</v>
      </c>
      <c r="M22" s="1722">
        <v>10024.9</v>
      </c>
      <c r="N22" s="1722">
        <v>427.4</v>
      </c>
      <c r="O22" s="1719">
        <v>15049.75</v>
      </c>
      <c r="P22" s="1719">
        <v>4193.78</v>
      </c>
      <c r="Q22" s="1723">
        <v>15897</v>
      </c>
      <c r="R22" s="1723">
        <v>237.14</v>
      </c>
      <c r="S22" s="1723">
        <v>5328.18</v>
      </c>
      <c r="T22" s="1723">
        <v>2140.9499999999998</v>
      </c>
      <c r="U22" s="921" t="s">
        <v>1363</v>
      </c>
    </row>
    <row r="23" spans="1:21" s="9" customFormat="1" ht="23.25" customHeight="1">
      <c r="A23" s="145">
        <v>15</v>
      </c>
      <c r="B23" s="8" t="s">
        <v>1786</v>
      </c>
      <c r="C23" s="1721">
        <v>819.75</v>
      </c>
      <c r="D23" s="1722">
        <v>199.78</v>
      </c>
      <c r="E23" s="1722">
        <v>982</v>
      </c>
      <c r="F23" s="1722">
        <v>1315</v>
      </c>
      <c r="G23" s="28">
        <v>599.89</v>
      </c>
      <c r="H23" s="28">
        <v>0</v>
      </c>
      <c r="I23" s="28">
        <v>680</v>
      </c>
      <c r="J23" s="28">
        <v>0</v>
      </c>
      <c r="K23" s="1722">
        <v>711</v>
      </c>
      <c r="L23" s="1722">
        <v>0</v>
      </c>
      <c r="M23" s="1722">
        <v>791.81</v>
      </c>
      <c r="N23" s="1722">
        <v>1.1200000000000001</v>
      </c>
      <c r="O23" s="1719">
        <v>791.81</v>
      </c>
      <c r="P23" s="1719">
        <v>1.1200000000000001</v>
      </c>
      <c r="Q23" s="1723">
        <v>2142.7800000000002</v>
      </c>
      <c r="R23" s="1723"/>
      <c r="S23" s="1723">
        <v>10612</v>
      </c>
      <c r="T23" s="1720" t="s">
        <v>275</v>
      </c>
      <c r="U23" s="921" t="s">
        <v>1359</v>
      </c>
    </row>
    <row r="24" spans="1:21" s="9" customFormat="1" ht="23.25" customHeight="1">
      <c r="A24" s="145">
        <v>16</v>
      </c>
      <c r="B24" s="8" t="s">
        <v>176</v>
      </c>
      <c r="C24" s="1721">
        <v>0</v>
      </c>
      <c r="D24" s="1722">
        <v>0</v>
      </c>
      <c r="E24" s="1722">
        <v>0</v>
      </c>
      <c r="F24" s="1722">
        <v>0</v>
      </c>
      <c r="G24" s="28">
        <v>0</v>
      </c>
      <c r="H24" s="28">
        <v>0</v>
      </c>
      <c r="I24" s="28">
        <v>0</v>
      </c>
      <c r="J24" s="28">
        <v>0</v>
      </c>
      <c r="K24" s="1722">
        <v>0</v>
      </c>
      <c r="L24" s="1722">
        <v>0</v>
      </c>
      <c r="M24" s="1722">
        <v>0</v>
      </c>
      <c r="N24" s="1722">
        <v>0</v>
      </c>
      <c r="O24" s="1719" t="s">
        <v>47</v>
      </c>
      <c r="P24" s="1719" t="s">
        <v>47</v>
      </c>
      <c r="Q24" s="1723" t="s">
        <v>275</v>
      </c>
      <c r="R24" s="1723" t="s">
        <v>275</v>
      </c>
      <c r="S24" s="1720">
        <v>0</v>
      </c>
      <c r="T24" s="1720" t="s">
        <v>275</v>
      </c>
      <c r="U24" s="921" t="s">
        <v>1331</v>
      </c>
    </row>
    <row r="25" spans="1:21" s="9" customFormat="1" ht="23.25" customHeight="1">
      <c r="A25" s="2311" t="s">
        <v>1853</v>
      </c>
      <c r="B25" s="2312"/>
      <c r="C25" s="1721"/>
      <c r="D25" s="1722"/>
      <c r="E25" s="1722"/>
      <c r="F25" s="1722"/>
      <c r="G25" s="28"/>
      <c r="H25" s="28"/>
      <c r="I25" s="28"/>
      <c r="J25" s="28"/>
      <c r="K25" s="1722"/>
      <c r="L25" s="1722"/>
      <c r="M25" s="1722"/>
      <c r="N25" s="1722"/>
      <c r="O25" s="1719"/>
      <c r="P25" s="1719"/>
      <c r="Q25" s="1724"/>
      <c r="R25" s="1724"/>
      <c r="S25" s="1724"/>
      <c r="T25" s="1724"/>
      <c r="U25" s="921" t="s">
        <v>1852</v>
      </c>
    </row>
    <row r="26" spans="1:21" s="9" customFormat="1" ht="23.25" customHeight="1">
      <c r="A26" s="145">
        <v>17</v>
      </c>
      <c r="B26" s="8" t="s">
        <v>149</v>
      </c>
      <c r="C26" s="1721">
        <v>1205</v>
      </c>
      <c r="D26" s="1722">
        <v>1617</v>
      </c>
      <c r="E26" s="1722">
        <v>0</v>
      </c>
      <c r="F26" s="1722">
        <v>396</v>
      </c>
      <c r="G26" s="28">
        <v>104.5</v>
      </c>
      <c r="H26" s="28">
        <v>0</v>
      </c>
      <c r="I26" s="28">
        <v>106.2</v>
      </c>
      <c r="J26" s="28">
        <v>0</v>
      </c>
      <c r="K26" s="1722">
        <v>116.2</v>
      </c>
      <c r="L26" s="1722">
        <v>0</v>
      </c>
      <c r="M26" s="1722">
        <v>119.72</v>
      </c>
      <c r="N26" s="1722" t="s">
        <v>47</v>
      </c>
      <c r="O26" s="1719">
        <v>394</v>
      </c>
      <c r="P26" s="1719" t="s">
        <v>47</v>
      </c>
      <c r="Q26" s="1723">
        <v>345</v>
      </c>
      <c r="R26" s="1723" t="s">
        <v>275</v>
      </c>
      <c r="S26" s="1720">
        <v>0</v>
      </c>
      <c r="T26" s="1720" t="s">
        <v>275</v>
      </c>
      <c r="U26" s="921" t="s">
        <v>24</v>
      </c>
    </row>
    <row r="27" spans="1:21" s="9" customFormat="1" ht="23.25" customHeight="1">
      <c r="A27" s="145">
        <v>18</v>
      </c>
      <c r="B27" s="8" t="s">
        <v>175</v>
      </c>
      <c r="C27" s="1721">
        <v>0</v>
      </c>
      <c r="D27" s="1722">
        <v>0</v>
      </c>
      <c r="E27" s="1722"/>
      <c r="F27" s="1722">
        <v>0</v>
      </c>
      <c r="G27" s="28">
        <v>0</v>
      </c>
      <c r="H27" s="28">
        <v>0</v>
      </c>
      <c r="I27" s="28">
        <v>0</v>
      </c>
      <c r="J27" s="28">
        <v>0</v>
      </c>
      <c r="K27" s="1722">
        <v>0</v>
      </c>
      <c r="L27" s="1722">
        <v>0</v>
      </c>
      <c r="M27" s="1722" t="s">
        <v>47</v>
      </c>
      <c r="N27" s="1722" t="s">
        <v>47</v>
      </c>
      <c r="O27" s="1719" t="s">
        <v>47</v>
      </c>
      <c r="P27" s="1719" t="s">
        <v>47</v>
      </c>
      <c r="Q27" s="1723" t="s">
        <v>275</v>
      </c>
      <c r="R27" s="1723" t="s">
        <v>275</v>
      </c>
      <c r="S27" s="1720">
        <v>0</v>
      </c>
      <c r="T27" s="1720" t="s">
        <v>275</v>
      </c>
      <c r="U27" s="921" t="s">
        <v>38</v>
      </c>
    </row>
    <row r="28" spans="1:21" s="9" customFormat="1" ht="23.25" customHeight="1">
      <c r="A28" s="145">
        <v>19</v>
      </c>
      <c r="B28" s="8" t="s">
        <v>1798</v>
      </c>
      <c r="C28" s="1721">
        <v>6.53</v>
      </c>
      <c r="D28" s="1722">
        <v>914.41</v>
      </c>
      <c r="E28" s="1722">
        <v>5832.61</v>
      </c>
      <c r="F28" s="1722">
        <v>1146.48</v>
      </c>
      <c r="G28" s="28">
        <v>872.96</v>
      </c>
      <c r="H28" s="28">
        <v>46.49</v>
      </c>
      <c r="I28" s="28">
        <v>1097.46</v>
      </c>
      <c r="J28" s="28">
        <v>58.03</v>
      </c>
      <c r="K28" s="1722">
        <v>2360.6439999999998</v>
      </c>
      <c r="L28" s="1722">
        <v>70.147999999999996</v>
      </c>
      <c r="M28" s="1722">
        <v>2504.61</v>
      </c>
      <c r="N28" s="1722">
        <v>76</v>
      </c>
      <c r="O28" s="1719">
        <v>2128.6999999999998</v>
      </c>
      <c r="P28" s="1719">
        <v>246.54</v>
      </c>
      <c r="Q28" s="1723">
        <v>2794.77</v>
      </c>
      <c r="R28" s="1723" t="s">
        <v>275</v>
      </c>
      <c r="S28" s="1723">
        <v>3105.42</v>
      </c>
      <c r="T28" s="1723">
        <v>113.17</v>
      </c>
      <c r="U28" s="921" t="s">
        <v>1366</v>
      </c>
    </row>
    <row r="29" spans="1:21" s="9" customFormat="1" ht="23.25" customHeight="1">
      <c r="A29" s="145">
        <v>20</v>
      </c>
      <c r="B29" s="8" t="s">
        <v>153</v>
      </c>
      <c r="C29" s="1721">
        <v>9</v>
      </c>
      <c r="D29" s="1722">
        <v>1.29</v>
      </c>
      <c r="E29" s="1722">
        <v>0</v>
      </c>
      <c r="F29" s="1722">
        <v>26.146999999999998</v>
      </c>
      <c r="G29" s="28">
        <v>0.77</v>
      </c>
      <c r="H29" s="28">
        <v>33.07</v>
      </c>
      <c r="I29" s="28">
        <v>2.71</v>
      </c>
      <c r="J29" s="28">
        <v>190.05</v>
      </c>
      <c r="K29" s="1722">
        <v>3.2759999999999998</v>
      </c>
      <c r="L29" s="1722">
        <v>194.7</v>
      </c>
      <c r="M29" s="1722">
        <v>8.48</v>
      </c>
      <c r="N29" s="1722">
        <v>209.7</v>
      </c>
      <c r="O29" s="1719">
        <v>135.11199999999999</v>
      </c>
      <c r="P29" s="1719">
        <v>12.05</v>
      </c>
      <c r="Q29" s="1723">
        <v>320</v>
      </c>
      <c r="R29" s="1723">
        <v>137.9</v>
      </c>
      <c r="S29" s="1723">
        <v>0.22</v>
      </c>
      <c r="T29" s="1723">
        <v>0.22</v>
      </c>
      <c r="U29" s="921" t="s">
        <v>5</v>
      </c>
    </row>
    <row r="30" spans="1:21" s="9" customFormat="1" ht="23.25" customHeight="1">
      <c r="A30" s="145">
        <v>21</v>
      </c>
      <c r="B30" s="8" t="s">
        <v>1080</v>
      </c>
      <c r="C30" s="1721">
        <v>0</v>
      </c>
      <c r="D30" s="1722">
        <v>0</v>
      </c>
      <c r="E30" s="1722">
        <v>0</v>
      </c>
      <c r="F30" s="1722">
        <v>45.26</v>
      </c>
      <c r="G30" s="28">
        <v>0</v>
      </c>
      <c r="H30" s="28">
        <v>0</v>
      </c>
      <c r="I30" s="28">
        <v>0</v>
      </c>
      <c r="J30" s="28">
        <v>0</v>
      </c>
      <c r="K30" s="1722">
        <v>0</v>
      </c>
      <c r="L30" s="1722">
        <v>0</v>
      </c>
      <c r="M30" s="1722" t="s">
        <v>47</v>
      </c>
      <c r="N30" s="1722">
        <v>0.04</v>
      </c>
      <c r="O30" s="1719" t="s">
        <v>47</v>
      </c>
      <c r="P30" s="1719">
        <v>0.04</v>
      </c>
      <c r="Q30" s="1723" t="s">
        <v>275</v>
      </c>
      <c r="R30" s="1723" t="s">
        <v>275</v>
      </c>
      <c r="S30" s="1720">
        <v>0</v>
      </c>
      <c r="T30" s="1720" t="s">
        <v>275</v>
      </c>
      <c r="U30" s="921" t="s">
        <v>1851</v>
      </c>
    </row>
    <row r="31" spans="1:21" s="9" customFormat="1" ht="23.25" customHeight="1">
      <c r="A31" s="145">
        <v>22</v>
      </c>
      <c r="B31" s="8" t="s">
        <v>1788</v>
      </c>
      <c r="C31" s="1721">
        <v>2.5</v>
      </c>
      <c r="D31" s="1722">
        <v>692.22</v>
      </c>
      <c r="E31" s="1722">
        <v>2311.33</v>
      </c>
      <c r="F31" s="1722">
        <v>2124.85</v>
      </c>
      <c r="G31" s="28">
        <v>6305.45</v>
      </c>
      <c r="H31" s="28">
        <v>74.28</v>
      </c>
      <c r="I31" s="28">
        <v>2197.19</v>
      </c>
      <c r="J31" s="28">
        <v>149.58000000000001</v>
      </c>
      <c r="K31" s="1722">
        <v>5533.7740000000003</v>
      </c>
      <c r="L31" s="1722">
        <v>210.17699999999999</v>
      </c>
      <c r="M31" s="1722">
        <v>5645.28</v>
      </c>
      <c r="N31" s="1722">
        <v>236.09</v>
      </c>
      <c r="O31" s="1719">
        <v>7167.384</v>
      </c>
      <c r="P31" s="1719">
        <v>220.785</v>
      </c>
      <c r="Q31" s="1723">
        <v>9252.19</v>
      </c>
      <c r="R31" s="1723">
        <v>192.49</v>
      </c>
      <c r="S31" s="1723">
        <v>16042.27</v>
      </c>
      <c r="T31" s="1723">
        <v>361.37</v>
      </c>
      <c r="U31" s="921" t="s">
        <v>1787</v>
      </c>
    </row>
    <row r="32" spans="1:21" s="9" customFormat="1" ht="23.25" customHeight="1">
      <c r="A32" s="145">
        <v>23</v>
      </c>
      <c r="B32" s="8" t="s">
        <v>1782</v>
      </c>
      <c r="C32" s="1721">
        <v>1217.45</v>
      </c>
      <c r="D32" s="1722">
        <v>8695.08</v>
      </c>
      <c r="E32" s="1722">
        <v>1310.02</v>
      </c>
      <c r="F32" s="1722">
        <v>2682.22</v>
      </c>
      <c r="G32" s="28">
        <v>4099.07</v>
      </c>
      <c r="H32" s="28">
        <v>98.04</v>
      </c>
      <c r="I32" s="28">
        <v>3053.12</v>
      </c>
      <c r="J32" s="28">
        <v>223.34</v>
      </c>
      <c r="K32" s="1722">
        <v>2835.79</v>
      </c>
      <c r="L32" s="1722">
        <v>461.19</v>
      </c>
      <c r="M32" s="1722">
        <v>3441.3</v>
      </c>
      <c r="N32" s="1722">
        <v>743.95</v>
      </c>
      <c r="O32" s="1719">
        <v>2451.8000000000002</v>
      </c>
      <c r="P32" s="1719">
        <v>2444.5500000000002</v>
      </c>
      <c r="Q32" s="1723">
        <v>2142.7800000000002</v>
      </c>
      <c r="R32" s="1723">
        <v>2539.89</v>
      </c>
      <c r="S32" s="1723">
        <v>0</v>
      </c>
      <c r="T32" s="1723">
        <v>5725.64</v>
      </c>
      <c r="U32" s="921" t="s">
        <v>853</v>
      </c>
    </row>
    <row r="33" spans="1:21" s="9" customFormat="1" ht="23.25" customHeight="1">
      <c r="A33" s="145">
        <v>24</v>
      </c>
      <c r="B33" s="8" t="s">
        <v>1781</v>
      </c>
      <c r="C33" s="1721">
        <v>45</v>
      </c>
      <c r="D33" s="1722">
        <v>263.01</v>
      </c>
      <c r="E33" s="1722">
        <v>2758.21</v>
      </c>
      <c r="F33" s="1722">
        <v>5493.85</v>
      </c>
      <c r="G33" s="28">
        <v>2129.9499999999998</v>
      </c>
      <c r="H33" s="28">
        <v>208.03</v>
      </c>
      <c r="I33" s="28">
        <v>3549.39</v>
      </c>
      <c r="J33" s="28">
        <v>428.22</v>
      </c>
      <c r="K33" s="1722">
        <v>3720.68</v>
      </c>
      <c r="L33" s="1722">
        <v>696.9</v>
      </c>
      <c r="M33" s="1722">
        <v>3942.05</v>
      </c>
      <c r="N33" s="1722">
        <v>533.91999999999996</v>
      </c>
      <c r="O33" s="1719">
        <v>3359.79</v>
      </c>
      <c r="P33" s="1719">
        <v>281.16104059999998</v>
      </c>
      <c r="Q33" s="1723">
        <v>3118.98</v>
      </c>
      <c r="R33" s="1723">
        <v>4980</v>
      </c>
      <c r="S33" s="1723">
        <v>3708.83</v>
      </c>
      <c r="T33" s="1723">
        <v>1150.81</v>
      </c>
      <c r="U33" s="921" t="s">
        <v>1780</v>
      </c>
    </row>
    <row r="34" spans="1:21" s="9" customFormat="1" ht="23.25" customHeight="1">
      <c r="A34" s="2311" t="s">
        <v>1850</v>
      </c>
      <c r="B34" s="2312"/>
      <c r="C34" s="1721"/>
      <c r="D34" s="1722"/>
      <c r="E34" s="1722"/>
      <c r="F34" s="1722"/>
      <c r="G34" s="28"/>
      <c r="H34" s="28"/>
      <c r="I34" s="28"/>
      <c r="J34" s="28"/>
      <c r="K34" s="1722"/>
      <c r="L34" s="1722"/>
      <c r="M34" s="1722"/>
      <c r="N34" s="1722"/>
      <c r="O34" s="1719"/>
      <c r="P34" s="1719"/>
      <c r="Q34" s="1724"/>
      <c r="R34" s="1724"/>
      <c r="S34" s="1724"/>
      <c r="T34" s="1724"/>
      <c r="U34" s="920" t="s">
        <v>1849</v>
      </c>
    </row>
    <row r="35" spans="1:21" s="9" customFormat="1" ht="23.25" customHeight="1">
      <c r="A35" s="145">
        <v>25</v>
      </c>
      <c r="B35" s="8" t="s">
        <v>147</v>
      </c>
      <c r="C35" s="1721">
        <v>136.26</v>
      </c>
      <c r="D35" s="1722">
        <v>75</v>
      </c>
      <c r="E35" s="28">
        <v>52.4</v>
      </c>
      <c r="F35" s="1722">
        <v>52.4</v>
      </c>
      <c r="G35" s="28">
        <v>64.900000000000006</v>
      </c>
      <c r="H35" s="28">
        <v>0</v>
      </c>
      <c r="I35" s="28">
        <v>97</v>
      </c>
      <c r="J35" s="28">
        <v>0</v>
      </c>
      <c r="K35" s="1722">
        <v>107</v>
      </c>
      <c r="L35" s="1722">
        <v>0</v>
      </c>
      <c r="M35" s="1722">
        <v>128.76</v>
      </c>
      <c r="N35" s="1722">
        <v>0.02</v>
      </c>
      <c r="O35" s="1719">
        <v>130.83000000000001</v>
      </c>
      <c r="P35" s="1719" t="s">
        <v>47</v>
      </c>
      <c r="Q35" s="1723">
        <v>375</v>
      </c>
      <c r="R35" s="1723">
        <v>1900</v>
      </c>
      <c r="S35" s="1723">
        <v>74.59</v>
      </c>
      <c r="T35" s="1723">
        <v>2.11</v>
      </c>
      <c r="U35" s="921" t="s">
        <v>22</v>
      </c>
    </row>
    <row r="36" spans="1:21" s="9" customFormat="1" ht="23.25" customHeight="1">
      <c r="A36" s="145">
        <v>26</v>
      </c>
      <c r="B36" s="8" t="s">
        <v>1795</v>
      </c>
      <c r="C36" s="1721">
        <v>0</v>
      </c>
      <c r="D36" s="1722">
        <v>8.3800000000000008</v>
      </c>
      <c r="E36" s="1722">
        <v>35.299999999999997</v>
      </c>
      <c r="F36" s="1722">
        <v>14.2</v>
      </c>
      <c r="G36" s="28">
        <v>9.08</v>
      </c>
      <c r="H36" s="28">
        <v>0</v>
      </c>
      <c r="I36" s="28">
        <v>9.17</v>
      </c>
      <c r="J36" s="28">
        <v>0</v>
      </c>
      <c r="K36" s="1722">
        <v>18.552</v>
      </c>
      <c r="L36" s="1722">
        <v>0</v>
      </c>
      <c r="M36" s="1722">
        <v>20.96</v>
      </c>
      <c r="N36" s="1722">
        <v>0.01</v>
      </c>
      <c r="O36" s="1719">
        <v>20.96</v>
      </c>
      <c r="P36" s="1719" t="s">
        <v>47</v>
      </c>
      <c r="Q36" s="1723">
        <v>5.15</v>
      </c>
      <c r="R36" s="1723" t="s">
        <v>275</v>
      </c>
      <c r="S36" s="1720">
        <v>0</v>
      </c>
      <c r="T36" s="1720" t="s">
        <v>275</v>
      </c>
      <c r="U36" s="921" t="s">
        <v>1794</v>
      </c>
    </row>
    <row r="37" spans="1:21" s="9" customFormat="1" ht="23.25" customHeight="1">
      <c r="A37" s="145">
        <v>27</v>
      </c>
      <c r="B37" s="8" t="s">
        <v>164</v>
      </c>
      <c r="C37" s="1721">
        <v>357.66</v>
      </c>
      <c r="D37" s="1722">
        <v>590.12</v>
      </c>
      <c r="E37" s="1722">
        <v>407.1</v>
      </c>
      <c r="F37" s="1722">
        <v>1097.6099999999999</v>
      </c>
      <c r="G37" s="28">
        <v>1074.46</v>
      </c>
      <c r="H37" s="28">
        <v>4.7</v>
      </c>
      <c r="I37" s="28">
        <v>467.63</v>
      </c>
      <c r="J37" s="28">
        <v>13.7</v>
      </c>
      <c r="K37" s="1722">
        <v>516.28099999999995</v>
      </c>
      <c r="L37" s="1722">
        <v>31.79</v>
      </c>
      <c r="M37" s="1722">
        <v>560.20000000000005</v>
      </c>
      <c r="N37" s="1722">
        <v>46.18</v>
      </c>
      <c r="O37" s="1719">
        <v>8166.89</v>
      </c>
      <c r="P37" s="1719">
        <v>149.69200000000001</v>
      </c>
      <c r="Q37" s="1723">
        <v>449.2</v>
      </c>
      <c r="R37" s="1723">
        <v>1719</v>
      </c>
      <c r="S37" s="1723">
        <v>19406.64</v>
      </c>
      <c r="T37" s="1723">
        <v>859.6</v>
      </c>
      <c r="U37" s="921" t="s">
        <v>9</v>
      </c>
    </row>
    <row r="38" spans="1:21" s="9" customFormat="1" ht="23.25" customHeight="1">
      <c r="A38" s="145">
        <v>28</v>
      </c>
      <c r="B38" s="8" t="s">
        <v>1779</v>
      </c>
      <c r="C38" s="1721">
        <v>393.39</v>
      </c>
      <c r="D38" s="1722">
        <v>603.20000000000005</v>
      </c>
      <c r="E38" s="1722">
        <v>1110</v>
      </c>
      <c r="F38" s="1722">
        <v>1682.7</v>
      </c>
      <c r="G38" s="28">
        <v>2061.83</v>
      </c>
      <c r="H38" s="28">
        <v>14.63</v>
      </c>
      <c r="I38" s="28">
        <v>2826.27</v>
      </c>
      <c r="J38" s="28">
        <v>23.54</v>
      </c>
      <c r="K38" s="1722">
        <v>3195.18</v>
      </c>
      <c r="L38" s="1722">
        <v>26.21</v>
      </c>
      <c r="M38" s="1722">
        <v>3513.07</v>
      </c>
      <c r="N38" s="1722">
        <v>37.74</v>
      </c>
      <c r="O38" s="1719">
        <v>2050</v>
      </c>
      <c r="P38" s="1719">
        <v>37.74</v>
      </c>
      <c r="Q38" s="1723">
        <v>2200</v>
      </c>
      <c r="R38" s="1723" t="s">
        <v>275</v>
      </c>
      <c r="S38" s="1723">
        <v>448.59</v>
      </c>
      <c r="T38" s="1723">
        <v>33.54</v>
      </c>
      <c r="U38" s="921" t="s">
        <v>1356</v>
      </c>
    </row>
    <row r="39" spans="1:21" s="9" customFormat="1" ht="23.25" customHeight="1">
      <c r="A39" s="2311" t="s">
        <v>1009</v>
      </c>
      <c r="B39" s="2312"/>
      <c r="C39" s="1721"/>
      <c r="D39" s="1722"/>
      <c r="E39" s="1722"/>
      <c r="F39" s="1722"/>
      <c r="G39" s="28"/>
      <c r="H39" s="28"/>
      <c r="I39" s="28"/>
      <c r="J39" s="28"/>
      <c r="K39" s="1722"/>
      <c r="L39" s="1722"/>
      <c r="M39" s="1722"/>
      <c r="N39" s="1722"/>
      <c r="O39" s="1719"/>
      <c r="P39" s="1719"/>
      <c r="Q39" s="1723"/>
      <c r="R39" s="1723"/>
      <c r="S39" s="1723"/>
      <c r="T39" s="1723"/>
      <c r="U39" s="919" t="s">
        <v>1848</v>
      </c>
    </row>
    <row r="40" spans="1:21" s="9" customFormat="1" ht="23.25" customHeight="1">
      <c r="A40" s="145">
        <v>29</v>
      </c>
      <c r="B40" s="8" t="s">
        <v>145</v>
      </c>
      <c r="C40" s="1721">
        <v>0</v>
      </c>
      <c r="D40" s="1722">
        <v>0</v>
      </c>
      <c r="E40" s="28">
        <v>0</v>
      </c>
      <c r="F40" s="28">
        <v>59</v>
      </c>
      <c r="G40" s="28">
        <v>59</v>
      </c>
      <c r="H40" s="28">
        <v>0</v>
      </c>
      <c r="I40" s="28">
        <v>118</v>
      </c>
      <c r="J40" s="28">
        <v>0</v>
      </c>
      <c r="K40" s="1722">
        <v>119.7</v>
      </c>
      <c r="L40" s="1722">
        <v>0</v>
      </c>
      <c r="M40" s="1722">
        <v>232.9</v>
      </c>
      <c r="N40" s="1722">
        <v>0.11</v>
      </c>
      <c r="O40" s="1719">
        <v>0</v>
      </c>
      <c r="P40" s="1719">
        <v>0</v>
      </c>
      <c r="Q40" s="1723" t="s">
        <v>275</v>
      </c>
      <c r="R40" s="1723" t="s">
        <v>275</v>
      </c>
      <c r="S40" s="1720" t="s">
        <v>275</v>
      </c>
      <c r="T40" s="1720" t="s">
        <v>275</v>
      </c>
      <c r="U40" s="921" t="s">
        <v>15</v>
      </c>
    </row>
    <row r="41" spans="1:21" s="9" customFormat="1" ht="23.25" customHeight="1">
      <c r="A41" s="145">
        <v>30</v>
      </c>
      <c r="B41" s="8" t="s">
        <v>146</v>
      </c>
      <c r="C41" s="1721">
        <v>130</v>
      </c>
      <c r="D41" s="1722">
        <v>68.33</v>
      </c>
      <c r="E41" s="1722">
        <v>89</v>
      </c>
      <c r="F41" s="1722">
        <v>149</v>
      </c>
      <c r="G41" s="28">
        <v>88</v>
      </c>
      <c r="H41" s="28">
        <v>0</v>
      </c>
      <c r="I41" s="28">
        <v>1315</v>
      </c>
      <c r="J41" s="28">
        <v>22.5</v>
      </c>
      <c r="K41" s="1722">
        <v>1359.05</v>
      </c>
      <c r="L41" s="1722">
        <v>26</v>
      </c>
      <c r="M41" s="1722">
        <v>1742.62</v>
      </c>
      <c r="N41" s="1722">
        <v>33.1</v>
      </c>
      <c r="O41" s="1719">
        <v>617.197</v>
      </c>
      <c r="P41" s="1719" t="s">
        <v>47</v>
      </c>
      <c r="Q41" s="1723">
        <v>640.327</v>
      </c>
      <c r="R41" s="1723">
        <v>4.9000000000000004</v>
      </c>
      <c r="S41" s="1723">
        <v>483.54</v>
      </c>
      <c r="T41" s="1723">
        <v>3447.35</v>
      </c>
      <c r="U41" s="921" t="s">
        <v>21</v>
      </c>
    </row>
    <row r="42" spans="1:21" s="9" customFormat="1" ht="23.25" customHeight="1">
      <c r="A42" s="145">
        <v>31</v>
      </c>
      <c r="B42" s="8" t="s">
        <v>1790</v>
      </c>
      <c r="C42" s="1721">
        <v>0</v>
      </c>
      <c r="D42" s="1722">
        <v>0</v>
      </c>
      <c r="E42" s="1722">
        <v>0</v>
      </c>
      <c r="F42" s="1722">
        <v>0</v>
      </c>
      <c r="G42" s="28">
        <v>0</v>
      </c>
      <c r="H42" s="28">
        <v>0</v>
      </c>
      <c r="I42" s="28">
        <v>0</v>
      </c>
      <c r="J42" s="28">
        <v>0</v>
      </c>
      <c r="K42" s="1722">
        <v>25</v>
      </c>
      <c r="L42" s="1722">
        <v>0</v>
      </c>
      <c r="M42" s="1722">
        <v>23.94</v>
      </c>
      <c r="N42" s="1722" t="s">
        <v>47</v>
      </c>
      <c r="O42" s="1719">
        <v>81.5</v>
      </c>
      <c r="P42" s="1719">
        <v>100</v>
      </c>
      <c r="Q42" s="1723">
        <v>13.2</v>
      </c>
      <c r="R42" s="1723">
        <v>11.51</v>
      </c>
      <c r="S42" s="1723">
        <v>20</v>
      </c>
      <c r="T42" s="1723">
        <v>24.01</v>
      </c>
      <c r="U42" s="921" t="s">
        <v>1362</v>
      </c>
    </row>
    <row r="43" spans="1:21" s="9" customFormat="1" ht="23.25" customHeight="1">
      <c r="A43" s="145">
        <v>32</v>
      </c>
      <c r="B43" s="8" t="s">
        <v>1789</v>
      </c>
      <c r="C43" s="1721">
        <v>0</v>
      </c>
      <c r="D43" s="1722">
        <v>0</v>
      </c>
      <c r="E43" s="1722">
        <v>0</v>
      </c>
      <c r="F43" s="1722">
        <v>0</v>
      </c>
      <c r="G43" s="28">
        <v>0</v>
      </c>
      <c r="H43" s="28">
        <v>0</v>
      </c>
      <c r="I43" s="28">
        <v>0</v>
      </c>
      <c r="J43" s="28">
        <v>0</v>
      </c>
      <c r="K43" s="1722">
        <v>0</v>
      </c>
      <c r="L43" s="1722">
        <v>0</v>
      </c>
      <c r="M43" s="1722" t="s">
        <v>47</v>
      </c>
      <c r="N43" s="1722" t="s">
        <v>47</v>
      </c>
      <c r="O43" s="1719" t="s">
        <v>47</v>
      </c>
      <c r="P43" s="1719" t="s">
        <v>47</v>
      </c>
      <c r="Q43" s="1723" t="s">
        <v>275</v>
      </c>
      <c r="R43" s="1723" t="s">
        <v>275</v>
      </c>
      <c r="S43" s="1720">
        <v>0</v>
      </c>
      <c r="T43" s="1720" t="s">
        <v>275</v>
      </c>
      <c r="U43" s="921" t="s">
        <v>843</v>
      </c>
    </row>
    <row r="44" spans="1:21" s="9" customFormat="1" ht="23.25" customHeight="1">
      <c r="A44" s="145">
        <v>33</v>
      </c>
      <c r="B44" s="8" t="s">
        <v>162</v>
      </c>
      <c r="C44" s="1721">
        <v>2</v>
      </c>
      <c r="D44" s="1722">
        <v>0</v>
      </c>
      <c r="E44" s="1722">
        <v>0</v>
      </c>
      <c r="F44" s="1722">
        <v>4</v>
      </c>
      <c r="G44" s="28">
        <v>3.6</v>
      </c>
      <c r="H44" s="28">
        <v>0</v>
      </c>
      <c r="I44" s="28">
        <v>4.2</v>
      </c>
      <c r="J44" s="28">
        <v>0</v>
      </c>
      <c r="K44" s="1722">
        <v>2.5</v>
      </c>
      <c r="L44" s="1722">
        <v>0</v>
      </c>
      <c r="M44" s="1722">
        <v>8.99</v>
      </c>
      <c r="N44" s="1722" t="s">
        <v>47</v>
      </c>
      <c r="O44" s="1719">
        <v>2.5</v>
      </c>
      <c r="P44" s="1719" t="s">
        <v>47</v>
      </c>
      <c r="Q44" s="1723">
        <v>1.4</v>
      </c>
      <c r="R44" s="1723" t="s">
        <v>275</v>
      </c>
      <c r="S44" s="1723">
        <v>1.4</v>
      </c>
      <c r="T44" s="1720" t="s">
        <v>275</v>
      </c>
      <c r="U44" s="921" t="s">
        <v>30</v>
      </c>
    </row>
    <row r="45" spans="1:21" s="9" customFormat="1" ht="23.25" customHeight="1">
      <c r="A45" s="145">
        <v>34</v>
      </c>
      <c r="B45" s="8" t="s">
        <v>1016</v>
      </c>
      <c r="C45" s="1721">
        <v>21.5</v>
      </c>
      <c r="D45" s="1722">
        <v>13</v>
      </c>
      <c r="E45" s="1722">
        <v>7.45</v>
      </c>
      <c r="F45" s="1722">
        <v>7.45</v>
      </c>
      <c r="G45" s="28">
        <v>7.45</v>
      </c>
      <c r="H45" s="28">
        <v>0</v>
      </c>
      <c r="I45" s="28">
        <v>8.81</v>
      </c>
      <c r="J45" s="28">
        <v>0</v>
      </c>
      <c r="K45" s="1722">
        <v>51.45</v>
      </c>
      <c r="L45" s="1722">
        <v>0</v>
      </c>
      <c r="M45" s="1722">
        <v>70.62</v>
      </c>
      <c r="N45" s="1722" t="s">
        <v>47</v>
      </c>
      <c r="O45" s="1719">
        <v>17.452000000000002</v>
      </c>
      <c r="P45" s="1719" t="s">
        <v>47</v>
      </c>
      <c r="Q45" s="1723">
        <v>18.745999999999999</v>
      </c>
      <c r="R45" s="1723" t="s">
        <v>275</v>
      </c>
      <c r="S45" s="1723">
        <v>19.14</v>
      </c>
      <c r="T45" s="1720" t="s">
        <v>275</v>
      </c>
      <c r="U45" s="921" t="s">
        <v>841</v>
      </c>
    </row>
    <row r="46" spans="1:21" s="9" customFormat="1" ht="23.25" customHeight="1">
      <c r="A46" s="145">
        <v>35</v>
      </c>
      <c r="B46" s="8" t="s">
        <v>1785</v>
      </c>
      <c r="C46" s="1721">
        <v>0</v>
      </c>
      <c r="D46" s="1722">
        <v>0</v>
      </c>
      <c r="E46" s="1722">
        <v>9.5</v>
      </c>
      <c r="F46" s="1722">
        <v>10.1</v>
      </c>
      <c r="G46" s="28">
        <v>12.4</v>
      </c>
      <c r="H46" s="28">
        <v>0</v>
      </c>
      <c r="I46" s="28">
        <v>12.91</v>
      </c>
      <c r="J46" s="28">
        <v>0</v>
      </c>
      <c r="K46" s="1722">
        <v>16.25</v>
      </c>
      <c r="L46" s="1722">
        <v>0</v>
      </c>
      <c r="M46" s="1722">
        <v>33.15</v>
      </c>
      <c r="N46" s="1722" t="s">
        <v>47</v>
      </c>
      <c r="O46" s="1719" t="s">
        <v>47</v>
      </c>
      <c r="P46" s="1719">
        <v>51.5</v>
      </c>
      <c r="Q46" s="1723" t="s">
        <v>275</v>
      </c>
      <c r="R46" s="1723" t="s">
        <v>275</v>
      </c>
      <c r="S46" s="1723">
        <v>0</v>
      </c>
      <c r="T46" s="1723">
        <v>69.02</v>
      </c>
      <c r="U46" s="921" t="s">
        <v>11</v>
      </c>
    </row>
    <row r="47" spans="1:21" s="9" customFormat="1" ht="23.25" customHeight="1">
      <c r="A47" s="145">
        <v>36</v>
      </c>
      <c r="B47" s="8" t="s">
        <v>1783</v>
      </c>
      <c r="C47" s="1721">
        <v>850</v>
      </c>
      <c r="D47" s="1722">
        <v>1542.85</v>
      </c>
      <c r="E47" s="1722">
        <v>514</v>
      </c>
      <c r="F47" s="1722">
        <v>225</v>
      </c>
      <c r="G47" s="28">
        <v>240</v>
      </c>
      <c r="H47" s="28">
        <v>0</v>
      </c>
      <c r="I47" s="28">
        <v>1143.07</v>
      </c>
      <c r="J47" s="28">
        <v>0</v>
      </c>
      <c r="K47" s="1722">
        <v>1153.5</v>
      </c>
      <c r="L47" s="1722">
        <v>0</v>
      </c>
      <c r="M47" s="1722">
        <v>1187.8800000000001</v>
      </c>
      <c r="N47" s="1722">
        <v>0.03</v>
      </c>
      <c r="O47" s="1719">
        <v>81.790000000000006</v>
      </c>
      <c r="P47" s="1719" t="s">
        <v>47</v>
      </c>
      <c r="Q47" s="1723">
        <v>340.05900000000003</v>
      </c>
      <c r="R47" s="1723">
        <v>39.78</v>
      </c>
      <c r="S47" s="1723">
        <v>283.99</v>
      </c>
      <c r="T47" s="1723">
        <v>9.02</v>
      </c>
      <c r="U47" s="921" t="s">
        <v>1357</v>
      </c>
    </row>
    <row r="48" spans="1:21" s="9" customFormat="1" ht="29.25" customHeight="1">
      <c r="A48" s="2309" t="s">
        <v>180</v>
      </c>
      <c r="B48" s="2310"/>
      <c r="C48" s="1725">
        <f>SUM(C8:C47)</f>
        <v>37997.61</v>
      </c>
      <c r="D48" s="1725">
        <f>SUM(D8:D47)</f>
        <v>40324.21</v>
      </c>
      <c r="E48" s="1725">
        <f>SUM(E8:E47)</f>
        <v>46836.82</v>
      </c>
      <c r="F48" s="1725">
        <f>SUM(F8:F47)</f>
        <v>65527.806999999993</v>
      </c>
      <c r="G48" s="1725">
        <f>SUM(G8:G47)</f>
        <v>80696.45</v>
      </c>
      <c r="H48" s="1725">
        <v>4054.56</v>
      </c>
      <c r="I48" s="1725">
        <f>SUM(I8:I47)</f>
        <v>88029.295000000013</v>
      </c>
      <c r="J48" s="1725">
        <f>SUM(J8:J47)+0.02</f>
        <v>6240.92</v>
      </c>
      <c r="K48" s="1725">
        <f>SUM(K8:K47)</f>
        <v>109020.11019999997</v>
      </c>
      <c r="L48" s="1725">
        <f>SUM(L8:L47)</f>
        <v>7526.3342999999986</v>
      </c>
      <c r="M48" s="1725">
        <f>SUM(M8:M47)</f>
        <v>121066.53999999998</v>
      </c>
      <c r="N48" s="1725">
        <f>SUM(N8:N47)</f>
        <v>9033.0700000000015</v>
      </c>
      <c r="O48" s="1726">
        <f>SUM(O7:O47)</f>
        <v>73377.263999999996</v>
      </c>
      <c r="P48" s="1726">
        <f>SUM(P8:P47)</f>
        <v>22645.424040599999</v>
      </c>
      <c r="Q48" s="1727">
        <f>SUM(Q7:Q47)</f>
        <v>79446.609999999971</v>
      </c>
      <c r="R48" s="1727">
        <f>SUM(R7:R47)</f>
        <v>30105.94</v>
      </c>
      <c r="S48" s="1727">
        <f>SUM(S8:S47)</f>
        <v>192374.29999999996</v>
      </c>
      <c r="T48" s="1727">
        <v>42239.935100000002</v>
      </c>
      <c r="U48" s="918" t="s">
        <v>0</v>
      </c>
    </row>
    <row r="49" spans="1:21" s="9" customFormat="1" ht="23.25" customHeight="1">
      <c r="A49" s="2263" t="s">
        <v>1778</v>
      </c>
      <c r="B49" s="2264"/>
      <c r="C49" s="2264"/>
      <c r="D49" s="2264"/>
      <c r="E49" s="2264"/>
      <c r="F49" s="2264"/>
      <c r="G49" s="2264"/>
      <c r="H49" s="2264"/>
      <c r="I49" s="2264"/>
      <c r="J49" s="2264"/>
      <c r="K49" s="2264"/>
      <c r="L49" s="2264"/>
      <c r="M49" s="2264"/>
      <c r="N49" s="2264"/>
      <c r="O49" s="2264"/>
      <c r="P49" s="2264"/>
      <c r="Q49" s="2264"/>
      <c r="R49" s="2264"/>
      <c r="S49" s="2264"/>
      <c r="T49" s="2264"/>
      <c r="U49" s="2265"/>
    </row>
    <row r="50" spans="1:21" s="9" customFormat="1" ht="23.25" customHeight="1">
      <c r="A50" s="2317" t="s">
        <v>1847</v>
      </c>
      <c r="B50" s="2318"/>
      <c r="C50" s="2318"/>
      <c r="D50" s="2318"/>
      <c r="E50" s="2318"/>
      <c r="F50" s="2318"/>
      <c r="G50" s="2318"/>
      <c r="H50" s="2318"/>
      <c r="I50" s="2318"/>
      <c r="J50" s="2318"/>
      <c r="K50" s="2318"/>
      <c r="L50" s="2318"/>
      <c r="M50" s="2318"/>
      <c r="N50" s="2318"/>
      <c r="O50" s="2318"/>
      <c r="P50" s="2318"/>
      <c r="Q50" s="2318"/>
      <c r="R50" s="2318"/>
      <c r="S50" s="2318"/>
      <c r="T50" s="2318"/>
      <c r="U50" s="2319"/>
    </row>
    <row r="51" spans="1:21">
      <c r="A51" s="882"/>
      <c r="B51" s="1"/>
      <c r="C51" s="1"/>
      <c r="D51" s="1"/>
      <c r="E51" s="1"/>
      <c r="F51" s="1"/>
      <c r="G51" s="1"/>
      <c r="H51" s="1"/>
      <c r="I51" s="1"/>
      <c r="J51" s="1"/>
      <c r="K51" s="1"/>
      <c r="L51" s="1"/>
      <c r="M51" s="1"/>
      <c r="N51" s="1"/>
      <c r="O51" s="1"/>
      <c r="P51" s="1"/>
      <c r="Q51" s="1"/>
      <c r="R51" s="1"/>
      <c r="S51" s="1"/>
      <c r="T51" s="1"/>
      <c r="U51" s="208"/>
    </row>
    <row r="52" spans="1:21" ht="15.75" thickBot="1">
      <c r="A52" s="1993" t="s">
        <v>633</v>
      </c>
      <c r="B52" s="1994"/>
      <c r="C52" s="1994"/>
      <c r="D52" s="1994"/>
      <c r="E52" s="1994"/>
      <c r="F52" s="1994"/>
      <c r="G52" s="1994"/>
      <c r="H52" s="1994"/>
      <c r="I52" s="1994"/>
      <c r="J52" s="1994"/>
      <c r="K52" s="1994"/>
      <c r="L52" s="1994"/>
      <c r="M52" s="1994"/>
      <c r="N52" s="1994"/>
      <c r="O52" s="1994"/>
      <c r="P52" s="1994"/>
      <c r="Q52" s="1994"/>
      <c r="R52" s="1994"/>
      <c r="S52" s="1994"/>
      <c r="T52" s="1994"/>
      <c r="U52" s="1995"/>
    </row>
    <row r="53" spans="1:21" ht="15.75" thickTop="1"/>
    <row r="60" spans="1:21">
      <c r="K60" s="917"/>
    </row>
  </sheetData>
  <mergeCells count="22">
    <mergeCell ref="C4:T4"/>
    <mergeCell ref="M5:N5"/>
    <mergeCell ref="O5:P5"/>
    <mergeCell ref="K5:L5"/>
    <mergeCell ref="A25:B25"/>
    <mergeCell ref="S5:T5"/>
    <mergeCell ref="A48:B48"/>
    <mergeCell ref="A34:B34"/>
    <mergeCell ref="A1:U1"/>
    <mergeCell ref="A2:U2"/>
    <mergeCell ref="A52:U52"/>
    <mergeCell ref="A49:U49"/>
    <mergeCell ref="Q5:R5"/>
    <mergeCell ref="A50:U50"/>
    <mergeCell ref="A7:B7"/>
    <mergeCell ref="B4:B6"/>
    <mergeCell ref="U4:U6"/>
    <mergeCell ref="A39:B39"/>
    <mergeCell ref="A17:B17"/>
    <mergeCell ref="G5:H5"/>
    <mergeCell ref="I5:J5"/>
    <mergeCell ref="A4:A6"/>
  </mergeCells>
  <conditionalFormatting sqref="W4:XFD48 V4:V7 V17 V25 V34 V39 V48">
    <cfRule type="expression" dxfId="45" priority="3">
      <formula>MOD(ROW(),3)=1</formula>
    </cfRule>
  </conditionalFormatting>
  <conditionalFormatting sqref="A7:U48">
    <cfRule type="expression" dxfId="44" priority="1">
      <formula>MOD(ROW(),3)=1</formula>
    </cfRule>
  </conditionalFormatting>
  <pageMargins left="0.6692913385826772" right="0.15748031496062992" top="0.55118110236220474" bottom="0.74803149606299213" header="0.31496062992125984" footer="0.31496062992125984"/>
  <pageSetup paperSize="9" scale="54" orientation="portrait" r:id="rId1"/>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04BDD-E85D-47EF-9064-7314E43ED2E6}">
  <dimension ref="A1:Y108"/>
  <sheetViews>
    <sheetView view="pageBreakPreview" zoomScaleSheetLayoutView="100" workbookViewId="0">
      <selection activeCell="S17" sqref="S17"/>
    </sheetView>
  </sheetViews>
  <sheetFormatPr defaultColWidth="9.140625" defaultRowHeight="15"/>
  <cols>
    <col min="1" max="1" width="10.42578125" style="1" customWidth="1"/>
    <col min="2" max="2" width="27.7109375" style="1" customWidth="1"/>
    <col min="3" max="8" width="9.140625" style="1" hidden="1" customWidth="1"/>
    <col min="9" max="9" width="10.7109375" style="1" hidden="1" customWidth="1"/>
    <col min="10" max="10" width="11.5703125" style="1" hidden="1" customWidth="1"/>
    <col min="11" max="14" width="10.7109375" style="1" hidden="1" customWidth="1"/>
    <col min="15" max="16" width="12.7109375" style="1" hidden="1" customWidth="1"/>
    <col min="17" max="24" width="12.7109375" style="1" customWidth="1"/>
    <col min="25" max="25" width="32.7109375" style="1" customWidth="1"/>
    <col min="26" max="16384" width="9.140625" style="1"/>
  </cols>
  <sheetData>
    <row r="1" spans="1:25" s="41" customFormat="1" ht="27.75" customHeight="1" thickTop="1">
      <c r="A1" s="1868" t="s">
        <v>2788</v>
      </c>
      <c r="B1" s="1944"/>
      <c r="C1" s="1944"/>
      <c r="D1" s="1944"/>
      <c r="E1" s="1944"/>
      <c r="F1" s="1944"/>
      <c r="G1" s="1944"/>
      <c r="H1" s="1944"/>
      <c r="I1" s="1944"/>
      <c r="J1" s="1944"/>
      <c r="K1" s="1944"/>
      <c r="L1" s="1944"/>
      <c r="M1" s="1944"/>
      <c r="N1" s="1944"/>
      <c r="O1" s="1944"/>
      <c r="P1" s="1944"/>
      <c r="Q1" s="1944"/>
      <c r="R1" s="1944"/>
      <c r="S1" s="1944"/>
      <c r="T1" s="1944"/>
      <c r="U1" s="1944"/>
      <c r="V1" s="1944"/>
      <c r="W1" s="1944"/>
      <c r="X1" s="1944"/>
      <c r="Y1" s="1945"/>
    </row>
    <row r="2" spans="1:25" s="41" customFormat="1" ht="27.75" customHeight="1">
      <c r="A2" s="2253" t="s">
        <v>2789</v>
      </c>
      <c r="B2" s="2192"/>
      <c r="C2" s="2192"/>
      <c r="D2" s="2192"/>
      <c r="E2" s="2192"/>
      <c r="F2" s="2192"/>
      <c r="G2" s="2192"/>
      <c r="H2" s="2192"/>
      <c r="I2" s="2192"/>
      <c r="J2" s="2192"/>
      <c r="K2" s="2192"/>
      <c r="L2" s="2192"/>
      <c r="M2" s="2192"/>
      <c r="N2" s="2192"/>
      <c r="O2" s="2192"/>
      <c r="P2" s="2192"/>
      <c r="Q2" s="2192"/>
      <c r="R2" s="2192"/>
      <c r="S2" s="2192"/>
      <c r="T2" s="2192"/>
      <c r="U2" s="2192"/>
      <c r="V2" s="2192"/>
      <c r="W2" s="2192"/>
      <c r="X2" s="2192"/>
      <c r="Y2" s="2254"/>
    </row>
    <row r="3" spans="1:25" s="7" customFormat="1" ht="23.25" customHeight="1">
      <c r="A3" s="1382"/>
      <c r="B3" s="937"/>
      <c r="C3" s="937"/>
      <c r="D3" s="937"/>
      <c r="E3" s="937"/>
      <c r="F3" s="937"/>
      <c r="G3" s="937"/>
      <c r="H3" s="937"/>
      <c r="I3" s="937"/>
      <c r="J3" s="937"/>
      <c r="K3" s="937"/>
      <c r="L3" s="937"/>
      <c r="M3" s="937"/>
      <c r="N3" s="937"/>
      <c r="O3" s="937"/>
      <c r="P3" s="937"/>
      <c r="Q3" s="937"/>
      <c r="R3" s="937"/>
      <c r="S3" s="937"/>
      <c r="T3" s="937"/>
      <c r="U3" s="937"/>
      <c r="V3" s="937"/>
      <c r="W3" s="937"/>
      <c r="X3" s="937"/>
      <c r="Y3" s="1383" t="s">
        <v>1936</v>
      </c>
    </row>
    <row r="4" spans="1:25" s="95" customFormat="1" ht="21" customHeight="1">
      <c r="A4" s="2325" t="s">
        <v>688</v>
      </c>
      <c r="B4" s="2331" t="s">
        <v>1935</v>
      </c>
      <c r="C4" s="2327" t="s">
        <v>1934</v>
      </c>
      <c r="D4" s="1906"/>
      <c r="E4" s="1906" t="s">
        <v>1933</v>
      </c>
      <c r="F4" s="1906"/>
      <c r="G4" s="1906" t="s">
        <v>1932</v>
      </c>
      <c r="H4" s="1906"/>
      <c r="I4" s="1906" t="s">
        <v>1931</v>
      </c>
      <c r="J4" s="1906"/>
      <c r="K4" s="1906" t="s">
        <v>1930</v>
      </c>
      <c r="L4" s="1906"/>
      <c r="M4" s="1906" t="s">
        <v>1929</v>
      </c>
      <c r="N4" s="1906"/>
      <c r="O4" s="1906" t="s">
        <v>1928</v>
      </c>
      <c r="P4" s="1906"/>
      <c r="Q4" s="1906" t="s">
        <v>1927</v>
      </c>
      <c r="R4" s="1906"/>
      <c r="S4" s="1906" t="s">
        <v>522</v>
      </c>
      <c r="T4" s="1906"/>
      <c r="U4" s="1906" t="s">
        <v>652</v>
      </c>
      <c r="V4" s="1906"/>
      <c r="W4" s="1906" t="s">
        <v>803</v>
      </c>
      <c r="X4" s="1906"/>
      <c r="Y4" s="2330" t="s">
        <v>1926</v>
      </c>
    </row>
    <row r="5" spans="1:25" s="95" customFormat="1" ht="85.5" customHeight="1">
      <c r="A5" s="2326"/>
      <c r="B5" s="2332"/>
      <c r="C5" s="1155" t="s">
        <v>1925</v>
      </c>
      <c r="D5" s="79" t="s">
        <v>1924</v>
      </c>
      <c r="E5" s="79" t="s">
        <v>1925</v>
      </c>
      <c r="F5" s="79" t="s">
        <v>1924</v>
      </c>
      <c r="G5" s="79" t="s">
        <v>1925</v>
      </c>
      <c r="H5" s="79" t="s">
        <v>1924</v>
      </c>
      <c r="I5" s="79" t="s">
        <v>1923</v>
      </c>
      <c r="J5" s="79" t="s">
        <v>1921</v>
      </c>
      <c r="K5" s="79" t="s">
        <v>1923</v>
      </c>
      <c r="L5" s="79" t="s">
        <v>1921</v>
      </c>
      <c r="M5" s="79" t="s">
        <v>1922</v>
      </c>
      <c r="N5" s="79" t="s">
        <v>1921</v>
      </c>
      <c r="O5" s="234" t="s">
        <v>1920</v>
      </c>
      <c r="P5" s="234" t="s">
        <v>897</v>
      </c>
      <c r="Q5" s="265" t="s">
        <v>1920</v>
      </c>
      <c r="R5" s="265" t="s">
        <v>897</v>
      </c>
      <c r="S5" s="265" t="s">
        <v>1920</v>
      </c>
      <c r="T5" s="265" t="s">
        <v>897</v>
      </c>
      <c r="U5" s="265" t="s">
        <v>1920</v>
      </c>
      <c r="V5" s="265" t="s">
        <v>897</v>
      </c>
      <c r="W5" s="265" t="s">
        <v>1920</v>
      </c>
      <c r="X5" s="265" t="s">
        <v>897</v>
      </c>
      <c r="Y5" s="1921"/>
    </row>
    <row r="6" spans="1:25" ht="14.25" customHeight="1">
      <c r="A6" s="936" t="s">
        <v>1159</v>
      </c>
      <c r="B6" s="935" t="s">
        <v>1919</v>
      </c>
      <c r="C6" s="1164"/>
      <c r="D6" s="1129"/>
      <c r="E6" s="1129"/>
      <c r="F6" s="1129"/>
      <c r="G6" s="1129"/>
      <c r="H6" s="1129"/>
      <c r="I6" s="1129"/>
      <c r="J6" s="1129"/>
      <c r="K6" s="1129"/>
      <c r="L6" s="1129"/>
      <c r="M6" s="1129"/>
      <c r="N6" s="1129"/>
      <c r="O6" s="1129"/>
      <c r="P6" s="1129"/>
      <c r="Q6" s="1129"/>
      <c r="R6" s="1129"/>
      <c r="S6" s="1129"/>
      <c r="T6" s="1129"/>
      <c r="U6" s="1129"/>
      <c r="V6" s="1129"/>
      <c r="W6" s="1129"/>
      <c r="X6" s="1129"/>
      <c r="Y6" s="1384" t="s">
        <v>1918</v>
      </c>
    </row>
    <row r="7" spans="1:25">
      <c r="A7" s="934">
        <v>1</v>
      </c>
      <c r="B7" s="933" t="s">
        <v>1917</v>
      </c>
      <c r="C7" s="553">
        <v>4730</v>
      </c>
      <c r="D7" s="92">
        <v>721</v>
      </c>
      <c r="E7" s="92">
        <v>4730</v>
      </c>
      <c r="F7" s="92">
        <v>924</v>
      </c>
      <c r="G7" s="92">
        <v>4730</v>
      </c>
      <c r="H7" s="92">
        <v>560</v>
      </c>
      <c r="I7" s="461">
        <v>3850</v>
      </c>
      <c r="J7" s="461">
        <v>2382</v>
      </c>
      <c r="K7" s="461">
        <v>3450</v>
      </c>
      <c r="L7" s="461">
        <v>2118</v>
      </c>
      <c r="M7" s="461">
        <v>3430</v>
      </c>
      <c r="N7" s="461">
        <v>1785</v>
      </c>
      <c r="O7" s="814">
        <v>3430</v>
      </c>
      <c r="P7" s="814">
        <v>1763</v>
      </c>
      <c r="Q7" s="814">
        <v>3430</v>
      </c>
      <c r="R7" s="814">
        <v>1931</v>
      </c>
      <c r="S7" s="814">
        <v>3430</v>
      </c>
      <c r="T7" s="814">
        <v>1462</v>
      </c>
      <c r="U7" s="814">
        <v>3430</v>
      </c>
      <c r="V7" s="814">
        <v>1460</v>
      </c>
      <c r="W7" s="814">
        <v>3430</v>
      </c>
      <c r="X7" s="814">
        <v>1460</v>
      </c>
      <c r="Y7" s="862" t="s">
        <v>1916</v>
      </c>
    </row>
    <row r="8" spans="1:25">
      <c r="A8" s="934">
        <v>2</v>
      </c>
      <c r="B8" s="933" t="s">
        <v>1915</v>
      </c>
      <c r="C8" s="553">
        <v>456</v>
      </c>
      <c r="D8" s="92">
        <v>661</v>
      </c>
      <c r="E8" s="92">
        <v>456</v>
      </c>
      <c r="F8" s="92">
        <v>731</v>
      </c>
      <c r="G8" s="92">
        <v>456</v>
      </c>
      <c r="H8" s="92">
        <v>546</v>
      </c>
      <c r="I8" s="461">
        <v>697</v>
      </c>
      <c r="J8" s="461">
        <v>578</v>
      </c>
      <c r="K8" s="461">
        <v>697</v>
      </c>
      <c r="L8" s="461">
        <v>508</v>
      </c>
      <c r="M8" s="461">
        <v>697</v>
      </c>
      <c r="N8" s="461">
        <v>601</v>
      </c>
      <c r="O8" s="814">
        <v>697</v>
      </c>
      <c r="P8" s="814">
        <v>720</v>
      </c>
      <c r="Q8" s="814">
        <v>697</v>
      </c>
      <c r="R8" s="814">
        <v>763</v>
      </c>
      <c r="S8" s="814">
        <v>697</v>
      </c>
      <c r="T8" s="814">
        <v>634</v>
      </c>
      <c r="U8" s="814">
        <v>700</v>
      </c>
      <c r="V8" s="814">
        <v>880</v>
      </c>
      <c r="W8" s="814">
        <v>700</v>
      </c>
      <c r="X8" s="814">
        <v>880</v>
      </c>
      <c r="Y8" s="862" t="s">
        <v>1914</v>
      </c>
    </row>
    <row r="9" spans="1:25">
      <c r="A9" s="934">
        <v>3</v>
      </c>
      <c r="B9" s="933" t="s">
        <v>1913</v>
      </c>
      <c r="C9" s="553">
        <v>1270</v>
      </c>
      <c r="D9" s="92">
        <v>589</v>
      </c>
      <c r="E9" s="92">
        <v>1270</v>
      </c>
      <c r="F9" s="92">
        <v>432</v>
      </c>
      <c r="G9" s="92">
        <v>980</v>
      </c>
      <c r="H9" s="92">
        <v>340</v>
      </c>
      <c r="I9" s="461">
        <v>980</v>
      </c>
      <c r="J9" s="461">
        <v>355</v>
      </c>
      <c r="K9" s="461">
        <v>980</v>
      </c>
      <c r="L9" s="461">
        <v>242</v>
      </c>
      <c r="M9" s="461">
        <v>980</v>
      </c>
      <c r="N9" s="461">
        <v>130</v>
      </c>
      <c r="O9" s="814">
        <v>980</v>
      </c>
      <c r="P9" s="814">
        <v>27</v>
      </c>
      <c r="Q9" s="814">
        <v>980</v>
      </c>
      <c r="R9" s="814">
        <v>21</v>
      </c>
      <c r="S9" s="814">
        <v>780</v>
      </c>
      <c r="T9" s="814">
        <v>0</v>
      </c>
      <c r="U9" s="814">
        <v>780</v>
      </c>
      <c r="V9" s="814">
        <v>0</v>
      </c>
      <c r="W9" s="814">
        <v>780</v>
      </c>
      <c r="X9" s="814">
        <v>0</v>
      </c>
      <c r="Y9" s="862" t="s">
        <v>1912</v>
      </c>
    </row>
    <row r="10" spans="1:25" ht="17.25" customHeight="1">
      <c r="A10" s="934">
        <v>4</v>
      </c>
      <c r="B10" s="933" t="s">
        <v>1911</v>
      </c>
      <c r="C10" s="553">
        <v>42756</v>
      </c>
      <c r="D10" s="92">
        <v>26047</v>
      </c>
      <c r="E10" s="92">
        <v>69756</v>
      </c>
      <c r="F10" s="92">
        <v>43462</v>
      </c>
      <c r="G10" s="92">
        <v>69756</v>
      </c>
      <c r="H10" s="92">
        <v>45295</v>
      </c>
      <c r="I10" s="461">
        <v>71556</v>
      </c>
      <c r="J10" s="461">
        <v>61402</v>
      </c>
      <c r="K10" s="461">
        <v>72456</v>
      </c>
      <c r="L10" s="461">
        <v>66384</v>
      </c>
      <c r="M10" s="461">
        <v>77136</v>
      </c>
      <c r="N10" s="461">
        <v>78480</v>
      </c>
      <c r="O10" s="814">
        <v>82386</v>
      </c>
      <c r="P10" s="814">
        <v>70245</v>
      </c>
      <c r="Q10" s="814">
        <v>84696</v>
      </c>
      <c r="R10" s="814">
        <v>69331</v>
      </c>
      <c r="S10" s="814">
        <v>84696</v>
      </c>
      <c r="T10" s="814">
        <v>60880</v>
      </c>
      <c r="U10" s="814">
        <v>119800</v>
      </c>
      <c r="V10" s="814">
        <v>97430</v>
      </c>
      <c r="W10" s="814">
        <v>119800</v>
      </c>
      <c r="X10" s="814">
        <v>97430</v>
      </c>
      <c r="Y10" s="862" t="s">
        <v>1910</v>
      </c>
    </row>
    <row r="11" spans="1:25">
      <c r="A11" s="934">
        <v>5</v>
      </c>
      <c r="B11" s="933" t="s">
        <v>1909</v>
      </c>
      <c r="C11" s="553">
        <v>584</v>
      </c>
      <c r="D11" s="92">
        <v>427</v>
      </c>
      <c r="E11" s="92">
        <v>584</v>
      </c>
      <c r="F11" s="92">
        <v>469</v>
      </c>
      <c r="G11" s="92">
        <v>584</v>
      </c>
      <c r="H11" s="92">
        <v>441</v>
      </c>
      <c r="I11" s="461">
        <v>1344</v>
      </c>
      <c r="J11" s="461">
        <v>769</v>
      </c>
      <c r="K11" s="461">
        <v>1344</v>
      </c>
      <c r="L11" s="461">
        <v>834</v>
      </c>
      <c r="M11" s="461">
        <v>1344</v>
      </c>
      <c r="N11" s="461">
        <v>720</v>
      </c>
      <c r="O11" s="814">
        <v>1344</v>
      </c>
      <c r="P11" s="814">
        <v>674</v>
      </c>
      <c r="Q11" s="814">
        <v>1461</v>
      </c>
      <c r="R11" s="814">
        <v>660</v>
      </c>
      <c r="S11" s="814">
        <v>1700</v>
      </c>
      <c r="T11" s="814">
        <v>753</v>
      </c>
      <c r="U11" s="814">
        <v>1700</v>
      </c>
      <c r="V11" s="814">
        <v>810</v>
      </c>
      <c r="W11" s="814">
        <v>1700</v>
      </c>
      <c r="X11" s="814">
        <v>810</v>
      </c>
      <c r="Y11" s="862" t="s">
        <v>1908</v>
      </c>
    </row>
    <row r="12" spans="1:25">
      <c r="A12" s="934">
        <v>6</v>
      </c>
      <c r="B12" s="933" t="s">
        <v>1907</v>
      </c>
      <c r="C12" s="553">
        <v>750</v>
      </c>
      <c r="D12" s="92">
        <v>359</v>
      </c>
      <c r="E12" s="92">
        <v>750</v>
      </c>
      <c r="F12" s="92">
        <v>500</v>
      </c>
      <c r="G12" s="92">
        <v>750</v>
      </c>
      <c r="H12" s="92">
        <v>625</v>
      </c>
      <c r="I12" s="461">
        <v>750</v>
      </c>
      <c r="J12" s="461">
        <v>607</v>
      </c>
      <c r="K12" s="461">
        <v>750</v>
      </c>
      <c r="L12" s="461">
        <v>389</v>
      </c>
      <c r="M12" s="461">
        <v>750</v>
      </c>
      <c r="N12" s="461">
        <v>354</v>
      </c>
      <c r="O12" s="814">
        <v>750</v>
      </c>
      <c r="P12" s="814">
        <v>400</v>
      </c>
      <c r="Q12" s="814">
        <v>750</v>
      </c>
      <c r="R12" s="814">
        <v>336</v>
      </c>
      <c r="S12" s="814">
        <v>750</v>
      </c>
      <c r="T12" s="814">
        <v>207</v>
      </c>
      <c r="U12" s="814">
        <v>750</v>
      </c>
      <c r="V12" s="814">
        <v>200</v>
      </c>
      <c r="W12" s="814">
        <v>750</v>
      </c>
      <c r="X12" s="814">
        <v>200</v>
      </c>
      <c r="Y12" s="862" t="s">
        <v>1906</v>
      </c>
    </row>
    <row r="13" spans="1:25">
      <c r="A13" s="936" t="s">
        <v>1150</v>
      </c>
      <c r="B13" s="935" t="s">
        <v>1905</v>
      </c>
      <c r="C13" s="553"/>
      <c r="D13" s="92"/>
      <c r="E13" s="92"/>
      <c r="F13" s="92"/>
      <c r="G13" s="92"/>
      <c r="H13" s="92"/>
      <c r="I13" s="461"/>
      <c r="J13" s="461"/>
      <c r="K13" s="461"/>
      <c r="L13" s="461"/>
      <c r="M13" s="461"/>
      <c r="N13" s="461"/>
      <c r="O13" s="814"/>
      <c r="P13" s="814"/>
      <c r="Q13" s="814"/>
      <c r="R13" s="814"/>
      <c r="S13" s="814"/>
      <c r="T13" s="814"/>
      <c r="U13" s="814"/>
      <c r="V13" s="814"/>
      <c r="W13" s="814"/>
      <c r="X13" s="814"/>
      <c r="Y13" s="1384" t="s">
        <v>1904</v>
      </c>
    </row>
    <row r="14" spans="1:25">
      <c r="A14" s="934">
        <v>1</v>
      </c>
      <c r="B14" s="933" t="s">
        <v>1903</v>
      </c>
      <c r="C14" s="553">
        <v>15600</v>
      </c>
      <c r="D14" s="92">
        <v>12600</v>
      </c>
      <c r="E14" s="92">
        <v>24200</v>
      </c>
      <c r="F14" s="92">
        <v>15028</v>
      </c>
      <c r="G14" s="92">
        <v>22000</v>
      </c>
      <c r="H14" s="92">
        <v>15436</v>
      </c>
      <c r="I14" s="461">
        <v>22000</v>
      </c>
      <c r="J14" s="461">
        <v>11623</v>
      </c>
      <c r="K14" s="461">
        <v>22000</v>
      </c>
      <c r="L14" s="461">
        <v>18456</v>
      </c>
      <c r="M14" s="461">
        <v>26000</v>
      </c>
      <c r="N14" s="461">
        <v>23358</v>
      </c>
      <c r="O14" s="814">
        <v>27000</v>
      </c>
      <c r="P14" s="814">
        <v>25830</v>
      </c>
      <c r="Q14" s="814">
        <v>27000</v>
      </c>
      <c r="R14" s="814">
        <v>24236</v>
      </c>
      <c r="S14" s="814">
        <v>27000</v>
      </c>
      <c r="T14" s="814">
        <v>22555</v>
      </c>
      <c r="U14" s="814">
        <v>27000</v>
      </c>
      <c r="V14" s="814">
        <v>27050</v>
      </c>
      <c r="W14" s="814">
        <v>27000</v>
      </c>
      <c r="X14" s="814">
        <v>27050</v>
      </c>
      <c r="Y14" s="862" t="s">
        <v>1902</v>
      </c>
    </row>
    <row r="15" spans="1:25">
      <c r="A15" s="934">
        <v>2</v>
      </c>
      <c r="B15" s="933" t="s">
        <v>1901</v>
      </c>
      <c r="C15" s="553">
        <v>500</v>
      </c>
      <c r="D15" s="92">
        <v>292</v>
      </c>
      <c r="E15" s="92">
        <v>500</v>
      </c>
      <c r="F15" s="92">
        <v>199</v>
      </c>
      <c r="G15" s="92">
        <v>500</v>
      </c>
      <c r="H15" s="92">
        <v>183</v>
      </c>
      <c r="I15" s="461">
        <v>500</v>
      </c>
      <c r="J15" s="461">
        <v>0</v>
      </c>
      <c r="K15" s="461">
        <v>500</v>
      </c>
      <c r="L15" s="461">
        <v>2</v>
      </c>
      <c r="M15" s="461">
        <v>500</v>
      </c>
      <c r="N15" s="461">
        <v>0</v>
      </c>
      <c r="O15" s="814">
        <v>500</v>
      </c>
      <c r="P15" s="814">
        <v>0</v>
      </c>
      <c r="Q15" s="814">
        <v>500</v>
      </c>
      <c r="R15" s="814">
        <v>0</v>
      </c>
      <c r="S15" s="814">
        <v>500</v>
      </c>
      <c r="T15" s="814">
        <v>0</v>
      </c>
      <c r="U15" s="814">
        <v>500</v>
      </c>
      <c r="V15" s="814">
        <v>0</v>
      </c>
      <c r="W15" s="814">
        <v>500</v>
      </c>
      <c r="X15" s="814">
        <v>0</v>
      </c>
      <c r="Y15" s="862" t="s">
        <v>1900</v>
      </c>
    </row>
    <row r="16" spans="1:25" ht="15" customHeight="1">
      <c r="A16" s="934">
        <v>3</v>
      </c>
      <c r="B16" s="933" t="s">
        <v>1899</v>
      </c>
      <c r="C16" s="553">
        <v>1650</v>
      </c>
      <c r="D16" s="92">
        <v>824</v>
      </c>
      <c r="E16" s="92">
        <v>1650</v>
      </c>
      <c r="F16" s="92">
        <v>1136</v>
      </c>
      <c r="G16" s="92">
        <v>1650</v>
      </c>
      <c r="H16" s="92">
        <v>1217</v>
      </c>
      <c r="I16" s="461">
        <v>1938</v>
      </c>
      <c r="J16" s="461">
        <v>619</v>
      </c>
      <c r="K16" s="461">
        <v>1848</v>
      </c>
      <c r="L16" s="461">
        <v>662</v>
      </c>
      <c r="M16" s="461">
        <v>1938</v>
      </c>
      <c r="N16" s="461">
        <v>1301</v>
      </c>
      <c r="O16" s="814">
        <v>1713</v>
      </c>
      <c r="P16" s="814">
        <v>1639</v>
      </c>
      <c r="Q16" s="814">
        <v>1675</v>
      </c>
      <c r="R16" s="814">
        <v>1698</v>
      </c>
      <c r="S16" s="814">
        <v>1650</v>
      </c>
      <c r="T16" s="814">
        <v>792</v>
      </c>
      <c r="U16" s="814">
        <v>1650</v>
      </c>
      <c r="V16" s="814">
        <v>430</v>
      </c>
      <c r="W16" s="814">
        <v>1650</v>
      </c>
      <c r="X16" s="814">
        <v>430</v>
      </c>
      <c r="Y16" s="862" t="s">
        <v>1898</v>
      </c>
    </row>
    <row r="17" spans="1:25" ht="14.25" customHeight="1">
      <c r="A17" s="934">
        <v>4</v>
      </c>
      <c r="B17" s="933" t="s">
        <v>1897</v>
      </c>
      <c r="C17" s="553">
        <v>3000</v>
      </c>
      <c r="D17" s="92">
        <v>1492</v>
      </c>
      <c r="E17" s="92">
        <v>3000</v>
      </c>
      <c r="F17" s="92">
        <v>1634</v>
      </c>
      <c r="G17" s="92">
        <v>3000</v>
      </c>
      <c r="H17" s="92">
        <v>3118</v>
      </c>
      <c r="I17" s="461">
        <v>3100</v>
      </c>
      <c r="J17" s="461">
        <v>1659</v>
      </c>
      <c r="K17" s="461">
        <v>3100</v>
      </c>
      <c r="L17" s="461">
        <v>1916</v>
      </c>
      <c r="M17" s="461">
        <v>3100</v>
      </c>
      <c r="N17" s="461">
        <v>2507</v>
      </c>
      <c r="O17" s="814">
        <v>3100</v>
      </c>
      <c r="P17" s="814">
        <v>3282</v>
      </c>
      <c r="Q17" s="814">
        <v>3750</v>
      </c>
      <c r="R17" s="814">
        <v>5569</v>
      </c>
      <c r="S17" s="814">
        <v>4550</v>
      </c>
      <c r="T17" s="814">
        <v>6152</v>
      </c>
      <c r="U17" s="814">
        <v>5100</v>
      </c>
      <c r="V17" s="814">
        <v>5210</v>
      </c>
      <c r="W17" s="814">
        <v>5100</v>
      </c>
      <c r="X17" s="814">
        <v>5210</v>
      </c>
      <c r="Y17" s="862" t="s">
        <v>1896</v>
      </c>
    </row>
    <row r="18" spans="1:25">
      <c r="A18" s="934">
        <v>5</v>
      </c>
      <c r="B18" s="933" t="s">
        <v>1895</v>
      </c>
      <c r="C18" s="553">
        <v>2000</v>
      </c>
      <c r="D18" s="92">
        <v>0</v>
      </c>
      <c r="E18" s="92">
        <v>2000</v>
      </c>
      <c r="F18" s="92">
        <v>0</v>
      </c>
      <c r="G18" s="92">
        <v>2000</v>
      </c>
      <c r="H18" s="92">
        <v>1034</v>
      </c>
      <c r="I18" s="461">
        <v>2000</v>
      </c>
      <c r="J18" s="461">
        <v>2259</v>
      </c>
      <c r="K18" s="461">
        <v>3000</v>
      </c>
      <c r="L18" s="461">
        <v>2818</v>
      </c>
      <c r="M18" s="461">
        <v>4500</v>
      </c>
      <c r="N18" s="461">
        <v>4038</v>
      </c>
      <c r="O18" s="814">
        <v>4500</v>
      </c>
      <c r="P18" s="814">
        <v>3780</v>
      </c>
      <c r="Q18" s="814">
        <v>4700</v>
      </c>
      <c r="R18" s="814">
        <v>2822</v>
      </c>
      <c r="S18" s="814">
        <v>6000</v>
      </c>
      <c r="T18" s="814">
        <v>2753</v>
      </c>
      <c r="U18" s="814">
        <v>5800</v>
      </c>
      <c r="V18" s="814">
        <v>3640</v>
      </c>
      <c r="W18" s="814">
        <v>5800</v>
      </c>
      <c r="X18" s="814">
        <v>3640</v>
      </c>
      <c r="Y18" s="862" t="s">
        <v>1894</v>
      </c>
    </row>
    <row r="19" spans="1:25">
      <c r="A19" s="934">
        <v>6</v>
      </c>
      <c r="B19" s="933" t="s">
        <v>1893</v>
      </c>
      <c r="C19" s="553">
        <v>0</v>
      </c>
      <c r="D19" s="92">
        <v>0</v>
      </c>
      <c r="E19" s="92">
        <v>0</v>
      </c>
      <c r="F19" s="92">
        <v>0</v>
      </c>
      <c r="G19" s="92">
        <v>750</v>
      </c>
      <c r="H19" s="92">
        <v>244</v>
      </c>
      <c r="I19" s="461">
        <v>750</v>
      </c>
      <c r="J19" s="461">
        <v>519</v>
      </c>
      <c r="K19" s="461">
        <v>1200</v>
      </c>
      <c r="L19" s="461">
        <v>908</v>
      </c>
      <c r="M19" s="461">
        <v>1200</v>
      </c>
      <c r="N19" s="461">
        <v>1120</v>
      </c>
      <c r="O19" s="814">
        <v>1200</v>
      </c>
      <c r="P19" s="814">
        <v>882</v>
      </c>
      <c r="Q19" s="814">
        <v>1350</v>
      </c>
      <c r="R19" s="814">
        <v>1919</v>
      </c>
      <c r="S19" s="814">
        <v>1950</v>
      </c>
      <c r="T19" s="814">
        <v>2648</v>
      </c>
      <c r="U19" s="814">
        <v>2520</v>
      </c>
      <c r="V19" s="814">
        <v>3190</v>
      </c>
      <c r="W19" s="814">
        <v>2520</v>
      </c>
      <c r="X19" s="814">
        <v>3190</v>
      </c>
      <c r="Y19" s="862" t="s">
        <v>1892</v>
      </c>
    </row>
    <row r="20" spans="1:25" ht="15.75" customHeight="1">
      <c r="A20" s="934">
        <v>7</v>
      </c>
      <c r="B20" s="933" t="s">
        <v>1891</v>
      </c>
      <c r="C20" s="553">
        <v>360</v>
      </c>
      <c r="D20" s="92">
        <v>296</v>
      </c>
      <c r="E20" s="92">
        <v>360</v>
      </c>
      <c r="F20" s="92">
        <v>102</v>
      </c>
      <c r="G20" s="92">
        <v>300</v>
      </c>
      <c r="H20" s="92">
        <v>206</v>
      </c>
      <c r="I20" s="461">
        <v>300</v>
      </c>
      <c r="J20" s="461">
        <v>191</v>
      </c>
      <c r="K20" s="461">
        <v>300</v>
      </c>
      <c r="L20" s="461">
        <v>300</v>
      </c>
      <c r="M20" s="461">
        <v>300</v>
      </c>
      <c r="N20" s="461">
        <v>282</v>
      </c>
      <c r="O20" s="814">
        <v>300</v>
      </c>
      <c r="P20" s="814">
        <v>153</v>
      </c>
      <c r="Q20" s="814">
        <v>300</v>
      </c>
      <c r="R20" s="814">
        <v>125</v>
      </c>
      <c r="S20" s="814">
        <v>300</v>
      </c>
      <c r="T20" s="814">
        <v>132</v>
      </c>
      <c r="U20" s="814">
        <v>300</v>
      </c>
      <c r="V20" s="814">
        <v>0</v>
      </c>
      <c r="W20" s="814">
        <v>300</v>
      </c>
      <c r="X20" s="814">
        <v>0</v>
      </c>
      <c r="Y20" s="862" t="s">
        <v>1890</v>
      </c>
    </row>
    <row r="21" spans="1:25" ht="16.5" customHeight="1">
      <c r="A21" s="936" t="s">
        <v>1147</v>
      </c>
      <c r="B21" s="935" t="s">
        <v>1889</v>
      </c>
      <c r="C21" s="553"/>
      <c r="D21" s="92"/>
      <c r="E21" s="92"/>
      <c r="F21" s="92"/>
      <c r="G21" s="92"/>
      <c r="H21" s="92"/>
      <c r="I21" s="461"/>
      <c r="J21" s="461"/>
      <c r="K21" s="461"/>
      <c r="L21" s="461"/>
      <c r="M21" s="461"/>
      <c r="N21" s="461"/>
      <c r="O21" s="814"/>
      <c r="P21" s="814"/>
      <c r="Q21" s="814"/>
      <c r="R21" s="814"/>
      <c r="S21" s="814"/>
      <c r="T21" s="814"/>
      <c r="U21" s="814"/>
      <c r="V21" s="814"/>
      <c r="W21" s="814"/>
      <c r="X21" s="814"/>
      <c r="Y21" s="1384" t="s">
        <v>1888</v>
      </c>
    </row>
    <row r="22" spans="1:25" ht="14.25" customHeight="1">
      <c r="A22" s="934">
        <v>1</v>
      </c>
      <c r="B22" s="933" t="s">
        <v>1887</v>
      </c>
      <c r="C22" s="553">
        <v>6250</v>
      </c>
      <c r="D22" s="92">
        <v>3684</v>
      </c>
      <c r="E22" s="92">
        <v>6250</v>
      </c>
      <c r="F22" s="92">
        <v>2528</v>
      </c>
      <c r="G22" s="92">
        <v>6250</v>
      </c>
      <c r="H22" s="92">
        <v>4052</v>
      </c>
      <c r="I22" s="461">
        <v>6250</v>
      </c>
      <c r="J22" s="461">
        <v>2426</v>
      </c>
      <c r="K22" s="461">
        <v>6250</v>
      </c>
      <c r="L22" s="461">
        <v>1952</v>
      </c>
      <c r="M22" s="461">
        <v>6250</v>
      </c>
      <c r="N22" s="461">
        <v>132</v>
      </c>
      <c r="O22" s="814">
        <v>6250</v>
      </c>
      <c r="P22" s="814">
        <v>0</v>
      </c>
      <c r="Q22" s="814">
        <v>6250</v>
      </c>
      <c r="R22" s="814">
        <v>0</v>
      </c>
      <c r="S22" s="814">
        <v>6000</v>
      </c>
      <c r="T22" s="814">
        <v>0</v>
      </c>
      <c r="U22" s="814">
        <v>6000</v>
      </c>
      <c r="V22" s="814">
        <v>0</v>
      </c>
      <c r="W22" s="814">
        <v>6000</v>
      </c>
      <c r="X22" s="814">
        <v>0</v>
      </c>
      <c r="Y22" s="862" t="s">
        <v>1886</v>
      </c>
    </row>
    <row r="23" spans="1:25">
      <c r="A23" s="934">
        <v>2</v>
      </c>
      <c r="B23" s="933" t="s">
        <v>1885</v>
      </c>
      <c r="C23" s="553">
        <v>7640</v>
      </c>
      <c r="D23" s="92">
        <v>4860</v>
      </c>
      <c r="E23" s="92">
        <v>9260</v>
      </c>
      <c r="F23" s="92">
        <v>5253</v>
      </c>
      <c r="G23" s="92">
        <v>9260</v>
      </c>
      <c r="H23" s="92">
        <v>6120</v>
      </c>
      <c r="I23" s="461">
        <v>9260</v>
      </c>
      <c r="J23" s="461">
        <v>9688</v>
      </c>
      <c r="K23" s="461">
        <v>9260</v>
      </c>
      <c r="L23" s="461">
        <v>6959</v>
      </c>
      <c r="M23" s="461">
        <v>13160</v>
      </c>
      <c r="N23" s="461">
        <v>6352</v>
      </c>
      <c r="O23" s="814">
        <v>12920</v>
      </c>
      <c r="P23" s="814">
        <v>6294</v>
      </c>
      <c r="Q23" s="814">
        <v>12870</v>
      </c>
      <c r="R23" s="814">
        <v>6684</v>
      </c>
      <c r="S23" s="814">
        <v>12920</v>
      </c>
      <c r="T23" s="814">
        <v>5911</v>
      </c>
      <c r="U23" s="814">
        <v>12920</v>
      </c>
      <c r="V23" s="814">
        <v>6130</v>
      </c>
      <c r="W23" s="814">
        <v>12920</v>
      </c>
      <c r="X23" s="814">
        <v>6130</v>
      </c>
      <c r="Y23" s="862" t="s">
        <v>1884</v>
      </c>
    </row>
    <row r="24" spans="1:25">
      <c r="A24" s="934">
        <v>3</v>
      </c>
      <c r="B24" s="933" t="s">
        <v>1883</v>
      </c>
      <c r="C24" s="553">
        <v>330</v>
      </c>
      <c r="D24" s="92">
        <v>225</v>
      </c>
      <c r="E24" s="92">
        <v>330</v>
      </c>
      <c r="F24" s="92">
        <v>307</v>
      </c>
      <c r="G24" s="92">
        <v>330</v>
      </c>
      <c r="H24" s="92">
        <v>136</v>
      </c>
      <c r="I24" s="461">
        <v>330</v>
      </c>
      <c r="J24" s="461">
        <v>122</v>
      </c>
      <c r="K24" s="461">
        <v>3300</v>
      </c>
      <c r="L24" s="461">
        <v>1255</v>
      </c>
      <c r="M24" s="461">
        <v>3720</v>
      </c>
      <c r="N24" s="461">
        <v>3679</v>
      </c>
      <c r="O24" s="814">
        <v>3720</v>
      </c>
      <c r="P24" s="814">
        <v>3262</v>
      </c>
      <c r="Q24" s="814">
        <v>3720</v>
      </c>
      <c r="R24" s="814">
        <v>3618</v>
      </c>
      <c r="S24" s="814">
        <v>6000</v>
      </c>
      <c r="T24" s="814">
        <v>3397</v>
      </c>
      <c r="U24" s="814">
        <v>6000</v>
      </c>
      <c r="V24" s="814">
        <v>3420</v>
      </c>
      <c r="W24" s="814">
        <v>6000</v>
      </c>
      <c r="X24" s="814">
        <v>3420</v>
      </c>
      <c r="Y24" s="862" t="s">
        <v>1882</v>
      </c>
    </row>
    <row r="25" spans="1:25">
      <c r="A25" s="934">
        <v>4</v>
      </c>
      <c r="B25" s="933" t="s">
        <v>1881</v>
      </c>
      <c r="C25" s="553">
        <v>500</v>
      </c>
      <c r="D25" s="92">
        <v>248</v>
      </c>
      <c r="E25" s="92">
        <v>500</v>
      </c>
      <c r="F25" s="92">
        <v>661</v>
      </c>
      <c r="G25" s="92">
        <v>500</v>
      </c>
      <c r="H25" s="92">
        <v>652</v>
      </c>
      <c r="I25" s="461">
        <v>500</v>
      </c>
      <c r="J25" s="461">
        <v>1198</v>
      </c>
      <c r="K25" s="461">
        <v>500</v>
      </c>
      <c r="L25" s="461">
        <v>1211</v>
      </c>
      <c r="M25" s="461">
        <v>500</v>
      </c>
      <c r="N25" s="461">
        <v>1895</v>
      </c>
      <c r="O25" s="814">
        <v>500</v>
      </c>
      <c r="P25" s="814">
        <v>2249</v>
      </c>
      <c r="Q25" s="814">
        <v>500</v>
      </c>
      <c r="R25" s="814">
        <v>1477</v>
      </c>
      <c r="S25" s="814">
        <v>1200</v>
      </c>
      <c r="T25" s="814">
        <v>1730</v>
      </c>
      <c r="U25" s="814">
        <v>1200</v>
      </c>
      <c r="V25" s="814">
        <v>1610</v>
      </c>
      <c r="W25" s="814">
        <v>1200</v>
      </c>
      <c r="X25" s="814">
        <v>1610</v>
      </c>
      <c r="Y25" s="862" t="s">
        <v>1880</v>
      </c>
    </row>
    <row r="26" spans="1:25" ht="16.5" customHeight="1">
      <c r="A26" s="936" t="s">
        <v>1144</v>
      </c>
      <c r="B26" s="935" t="s">
        <v>1879</v>
      </c>
      <c r="C26" s="553"/>
      <c r="D26" s="92"/>
      <c r="E26" s="92"/>
      <c r="F26" s="92"/>
      <c r="G26" s="92"/>
      <c r="H26" s="92"/>
      <c r="I26" s="461"/>
      <c r="J26" s="461"/>
      <c r="K26" s="461"/>
      <c r="L26" s="461"/>
      <c r="M26" s="461"/>
      <c r="N26" s="461"/>
      <c r="O26" s="814"/>
      <c r="P26" s="814"/>
      <c r="Q26" s="814"/>
      <c r="R26" s="814"/>
      <c r="S26" s="814"/>
      <c r="T26" s="814"/>
      <c r="U26" s="814"/>
      <c r="V26" s="814"/>
      <c r="W26" s="814"/>
      <c r="X26" s="814"/>
      <c r="Y26" s="1384" t="s">
        <v>1878</v>
      </c>
    </row>
    <row r="27" spans="1:25">
      <c r="A27" s="934">
        <v>1</v>
      </c>
      <c r="B27" s="933" t="s">
        <v>1877</v>
      </c>
      <c r="C27" s="553">
        <v>1100</v>
      </c>
      <c r="D27" s="92">
        <v>855</v>
      </c>
      <c r="E27" s="92">
        <v>1100</v>
      </c>
      <c r="F27" s="92">
        <v>891</v>
      </c>
      <c r="G27" s="92">
        <v>1100</v>
      </c>
      <c r="H27" s="92">
        <v>604</v>
      </c>
      <c r="I27" s="461">
        <v>1320</v>
      </c>
      <c r="J27" s="461">
        <v>1290</v>
      </c>
      <c r="K27" s="461">
        <v>1320</v>
      </c>
      <c r="L27" s="461">
        <v>1500</v>
      </c>
      <c r="M27" s="461">
        <v>1920</v>
      </c>
      <c r="N27" s="461">
        <v>1310</v>
      </c>
      <c r="O27" s="814">
        <v>1920</v>
      </c>
      <c r="P27" s="814">
        <v>1395</v>
      </c>
      <c r="Q27" s="814">
        <v>1920</v>
      </c>
      <c r="R27" s="814">
        <v>1260</v>
      </c>
      <c r="S27" s="814">
        <v>1920</v>
      </c>
      <c r="T27" s="814">
        <v>1316</v>
      </c>
      <c r="U27" s="814">
        <v>1920</v>
      </c>
      <c r="V27" s="814">
        <v>1470</v>
      </c>
      <c r="W27" s="814">
        <v>1920</v>
      </c>
      <c r="X27" s="814">
        <v>1470</v>
      </c>
      <c r="Y27" s="862" t="s">
        <v>1876</v>
      </c>
    </row>
    <row r="28" spans="1:25" ht="15" customHeight="1">
      <c r="A28" s="934">
        <v>2</v>
      </c>
      <c r="B28" s="933" t="s">
        <v>1875</v>
      </c>
      <c r="C28" s="553">
        <v>3900</v>
      </c>
      <c r="D28" s="92">
        <v>2824</v>
      </c>
      <c r="E28" s="92">
        <v>3900</v>
      </c>
      <c r="F28" s="92">
        <v>3138</v>
      </c>
      <c r="G28" s="92">
        <v>3900</v>
      </c>
      <c r="H28" s="92">
        <v>4161</v>
      </c>
      <c r="I28" s="461">
        <v>3900</v>
      </c>
      <c r="J28" s="461">
        <v>5051</v>
      </c>
      <c r="K28" s="461">
        <v>3900</v>
      </c>
      <c r="L28" s="461">
        <v>5747</v>
      </c>
      <c r="M28" s="461">
        <v>4740</v>
      </c>
      <c r="N28" s="461">
        <v>6402</v>
      </c>
      <c r="O28" s="814">
        <v>4740</v>
      </c>
      <c r="P28" s="814">
        <v>4771</v>
      </c>
      <c r="Q28" s="814">
        <v>4740</v>
      </c>
      <c r="R28" s="814">
        <v>4913</v>
      </c>
      <c r="S28" s="814">
        <v>4740</v>
      </c>
      <c r="T28" s="814">
        <v>4914</v>
      </c>
      <c r="U28" s="814">
        <v>4740</v>
      </c>
      <c r="V28" s="814">
        <v>7610</v>
      </c>
      <c r="W28" s="814">
        <v>4740</v>
      </c>
      <c r="X28" s="814">
        <v>7610</v>
      </c>
      <c r="Y28" s="862" t="s">
        <v>1874</v>
      </c>
    </row>
    <row r="29" spans="1:25">
      <c r="A29" s="936" t="s">
        <v>1138</v>
      </c>
      <c r="B29" s="935" t="s">
        <v>1873</v>
      </c>
      <c r="C29" s="553"/>
      <c r="D29" s="92"/>
      <c r="E29" s="92"/>
      <c r="F29" s="92"/>
      <c r="G29" s="92"/>
      <c r="H29" s="92"/>
      <c r="I29" s="461"/>
      <c r="J29" s="461"/>
      <c r="K29" s="461"/>
      <c r="L29" s="461"/>
      <c r="M29" s="461"/>
      <c r="N29" s="461"/>
      <c r="O29" s="814"/>
      <c r="P29" s="814"/>
      <c r="Q29" s="814"/>
      <c r="R29" s="814"/>
      <c r="S29" s="814"/>
      <c r="T29" s="814"/>
      <c r="U29" s="814"/>
      <c r="V29" s="814"/>
      <c r="W29" s="814"/>
      <c r="X29" s="814"/>
      <c r="Y29" s="1384" t="s">
        <v>1872</v>
      </c>
    </row>
    <row r="30" spans="1:25">
      <c r="A30" s="934">
        <v>1</v>
      </c>
      <c r="B30" s="933" t="s">
        <v>1871</v>
      </c>
      <c r="C30" s="553">
        <v>150</v>
      </c>
      <c r="D30" s="92">
        <v>45</v>
      </c>
      <c r="E30" s="92">
        <v>150</v>
      </c>
      <c r="F30" s="92">
        <v>83</v>
      </c>
      <c r="G30" s="92">
        <v>150</v>
      </c>
      <c r="H30" s="92">
        <v>46</v>
      </c>
      <c r="I30" s="461">
        <v>90</v>
      </c>
      <c r="J30" s="461">
        <v>107</v>
      </c>
      <c r="K30" s="461">
        <v>150</v>
      </c>
      <c r="L30" s="461">
        <v>94</v>
      </c>
      <c r="M30" s="461">
        <v>150</v>
      </c>
      <c r="N30" s="461">
        <v>90</v>
      </c>
      <c r="O30" s="814">
        <v>150</v>
      </c>
      <c r="P30" s="814">
        <v>77</v>
      </c>
      <c r="Q30" s="814">
        <v>100</v>
      </c>
      <c r="R30" s="814">
        <v>52</v>
      </c>
      <c r="S30" s="814">
        <v>150</v>
      </c>
      <c r="T30" s="814">
        <v>10</v>
      </c>
      <c r="U30" s="814">
        <v>150</v>
      </c>
      <c r="V30" s="814">
        <v>0</v>
      </c>
      <c r="W30" s="814">
        <v>150</v>
      </c>
      <c r="X30" s="814">
        <v>0</v>
      </c>
      <c r="Y30" s="862" t="s">
        <v>1870</v>
      </c>
    </row>
    <row r="31" spans="1:25" ht="24" customHeight="1">
      <c r="A31" s="932"/>
      <c r="B31" s="931" t="s">
        <v>180</v>
      </c>
      <c r="C31" s="930">
        <f t="shared" ref="C31:H31" si="0">SUM(C5:C27)</f>
        <v>89476</v>
      </c>
      <c r="D31" s="929">
        <f t="shared" si="0"/>
        <v>54180</v>
      </c>
      <c r="E31" s="929">
        <f t="shared" si="0"/>
        <v>126696</v>
      </c>
      <c r="F31" s="929">
        <f t="shared" si="0"/>
        <v>74257</v>
      </c>
      <c r="G31" s="929">
        <f t="shared" si="0"/>
        <v>124896</v>
      </c>
      <c r="H31" s="929">
        <f t="shared" si="0"/>
        <v>80809</v>
      </c>
      <c r="I31" s="928">
        <f t="shared" ref="I31:R31" si="1">I30+I28+I27+I25+I24+I23+I22+I20+I19+I18+I17+I16+I15+I14+I12+I11+I10+I9+I8+I7</f>
        <v>131415</v>
      </c>
      <c r="J31" s="928">
        <f t="shared" si="1"/>
        <v>102845</v>
      </c>
      <c r="K31" s="928">
        <f t="shared" si="1"/>
        <v>136305</v>
      </c>
      <c r="L31" s="928">
        <f t="shared" si="1"/>
        <v>114255</v>
      </c>
      <c r="M31" s="928">
        <f t="shared" si="1"/>
        <v>152315</v>
      </c>
      <c r="N31" s="928">
        <f t="shared" si="1"/>
        <v>134536</v>
      </c>
      <c r="O31" s="927">
        <f t="shared" si="1"/>
        <v>158100</v>
      </c>
      <c r="P31" s="927">
        <f t="shared" si="1"/>
        <v>127443</v>
      </c>
      <c r="Q31" s="927">
        <f t="shared" si="1"/>
        <v>161389</v>
      </c>
      <c r="R31" s="927">
        <f t="shared" si="1"/>
        <v>127415</v>
      </c>
      <c r="S31" s="927">
        <v>166933</v>
      </c>
      <c r="T31" s="927">
        <v>116246</v>
      </c>
      <c r="U31" s="927">
        <v>202960</v>
      </c>
      <c r="V31" s="927">
        <v>160540</v>
      </c>
      <c r="W31" s="927">
        <v>202960</v>
      </c>
      <c r="X31" s="927">
        <v>160540</v>
      </c>
      <c r="Y31" s="1385" t="s">
        <v>0</v>
      </c>
    </row>
    <row r="32" spans="1:25" ht="18" customHeight="1">
      <c r="A32" s="1386"/>
      <c r="B32" s="926"/>
      <c r="C32" s="926"/>
      <c r="D32" s="925"/>
      <c r="E32" s="925"/>
      <c r="F32" s="925"/>
      <c r="G32" s="925"/>
      <c r="H32" s="925"/>
      <c r="I32" s="924"/>
      <c r="J32" s="924"/>
      <c r="K32" s="924"/>
      <c r="L32" s="924"/>
      <c r="M32" s="924"/>
      <c r="N32" s="924"/>
      <c r="O32" s="924"/>
      <c r="P32" s="924"/>
      <c r="Q32" s="924"/>
      <c r="R32" s="924"/>
      <c r="S32" s="924"/>
      <c r="T32" s="924"/>
      <c r="U32" s="924"/>
      <c r="V32" s="924"/>
      <c r="W32" s="924"/>
      <c r="X32" s="924"/>
      <c r="Y32" s="1387"/>
    </row>
    <row r="33" spans="1:25" ht="18" customHeight="1">
      <c r="A33" s="2328" t="s">
        <v>1869</v>
      </c>
      <c r="B33" s="2329"/>
      <c r="C33" s="2329"/>
      <c r="D33" s="2329"/>
      <c r="E33" s="2329"/>
      <c r="F33" s="2329"/>
      <c r="G33" s="2329"/>
      <c r="H33" s="2329"/>
      <c r="I33" s="2329"/>
      <c r="J33" s="2329"/>
      <c r="K33" s="2329"/>
      <c r="L33" s="2329"/>
      <c r="M33" s="2329"/>
      <c r="N33" s="2329"/>
      <c r="O33" s="2329"/>
      <c r="P33" s="2329"/>
      <c r="Q33" s="2329"/>
      <c r="R33" s="2329"/>
      <c r="S33" s="2329"/>
      <c r="T33" s="2329"/>
      <c r="U33" s="1388"/>
      <c r="V33" s="1388"/>
      <c r="W33" s="1388"/>
      <c r="X33" s="1388"/>
      <c r="Y33" s="1389"/>
    </row>
    <row r="34" spans="1:25" ht="18" customHeight="1">
      <c r="A34" s="882" t="s">
        <v>1868</v>
      </c>
      <c r="U34" s="923"/>
      <c r="V34" s="923"/>
      <c r="W34" s="923"/>
      <c r="X34" s="923"/>
      <c r="Y34" s="208"/>
    </row>
    <row r="35" spans="1:25" ht="18" customHeight="1">
      <c r="A35" s="882" t="s">
        <v>1867</v>
      </c>
      <c r="U35" s="923"/>
      <c r="V35" s="923"/>
      <c r="W35" s="923"/>
      <c r="X35" s="923"/>
      <c r="Y35" s="208"/>
    </row>
    <row r="36" spans="1:25" ht="18" customHeight="1" thickBot="1">
      <c r="A36" s="205" t="s">
        <v>1866</v>
      </c>
      <c r="B36" s="206"/>
      <c r="C36" s="206"/>
      <c r="D36" s="206"/>
      <c r="E36" s="206"/>
      <c r="F36" s="206"/>
      <c r="G36" s="206"/>
      <c r="H36" s="206"/>
      <c r="I36" s="206"/>
      <c r="J36" s="206"/>
      <c r="K36" s="206"/>
      <c r="L36" s="206"/>
      <c r="M36" s="206"/>
      <c r="N36" s="206"/>
      <c r="O36" s="206"/>
      <c r="P36" s="206"/>
      <c r="Q36" s="206"/>
      <c r="R36" s="206"/>
      <c r="S36" s="206"/>
      <c r="T36" s="206"/>
      <c r="U36" s="1390"/>
      <c r="V36" s="1390"/>
      <c r="W36" s="1390"/>
      <c r="X36" s="1390"/>
      <c r="Y36" s="168"/>
    </row>
    <row r="37" spans="1:25" ht="15.75" thickTop="1">
      <c r="U37" s="923"/>
      <c r="V37" s="923"/>
      <c r="W37" s="923"/>
      <c r="X37" s="923"/>
    </row>
    <row r="38" spans="1:25">
      <c r="U38" s="923"/>
      <c r="V38" s="923"/>
      <c r="W38" s="923"/>
      <c r="X38" s="923"/>
    </row>
    <row r="39" spans="1:25">
      <c r="U39" s="923"/>
      <c r="V39" s="923"/>
      <c r="W39" s="923"/>
      <c r="X39" s="923"/>
    </row>
    <row r="40" spans="1:25">
      <c r="U40" s="923"/>
      <c r="V40" s="923"/>
      <c r="W40" s="923"/>
      <c r="X40" s="923"/>
    </row>
    <row r="41" spans="1:25">
      <c r="U41" s="923"/>
      <c r="V41" s="923"/>
      <c r="W41" s="923"/>
      <c r="X41" s="923"/>
    </row>
    <row r="42" spans="1:25">
      <c r="U42" s="923"/>
      <c r="V42" s="923"/>
      <c r="W42" s="923"/>
      <c r="X42" s="923"/>
    </row>
    <row r="43" spans="1:25">
      <c r="B43" s="48"/>
      <c r="O43" s="1" t="s">
        <v>1865</v>
      </c>
      <c r="U43" s="923"/>
      <c r="V43" s="923"/>
      <c r="W43" s="923"/>
      <c r="X43" s="923"/>
    </row>
    <row r="44" spans="1:25">
      <c r="U44" s="923"/>
      <c r="V44" s="923"/>
      <c r="W44" s="923"/>
      <c r="X44" s="923"/>
    </row>
    <row r="45" spans="1:25">
      <c r="T45" s="923"/>
      <c r="U45" s="923"/>
      <c r="V45" s="923"/>
      <c r="W45" s="923"/>
      <c r="X45" s="923"/>
      <c r="Y45" s="923"/>
    </row>
    <row r="46" spans="1:25">
      <c r="T46" s="923"/>
      <c r="U46" s="923"/>
      <c r="V46" s="923"/>
      <c r="W46" s="923"/>
      <c r="X46" s="923"/>
      <c r="Y46" s="923"/>
    </row>
    <row r="47" spans="1:25">
      <c r="T47" s="923"/>
      <c r="U47" s="923"/>
      <c r="V47" s="923"/>
      <c r="W47" s="923"/>
      <c r="X47" s="923"/>
      <c r="Y47" s="923"/>
    </row>
    <row r="48" spans="1:25">
      <c r="T48" s="923"/>
      <c r="U48" s="923"/>
      <c r="V48" s="923"/>
      <c r="W48" s="923"/>
      <c r="X48" s="923"/>
      <c r="Y48" s="923"/>
    </row>
    <row r="49" spans="20:25">
      <c r="T49" s="923"/>
      <c r="U49" s="923"/>
      <c r="V49" s="923"/>
      <c r="W49" s="923"/>
      <c r="X49" s="923"/>
      <c r="Y49" s="923"/>
    </row>
    <row r="50" spans="20:25">
      <c r="T50" s="923"/>
      <c r="U50" s="923"/>
      <c r="V50" s="923"/>
      <c r="W50" s="923"/>
      <c r="X50" s="923"/>
      <c r="Y50" s="923"/>
    </row>
    <row r="51" spans="20:25">
      <c r="T51" s="923"/>
      <c r="U51" s="923"/>
      <c r="V51" s="923"/>
      <c r="W51" s="923"/>
      <c r="X51" s="923"/>
      <c r="Y51" s="923"/>
    </row>
    <row r="52" spans="20:25">
      <c r="T52" s="923"/>
      <c r="U52" s="923"/>
      <c r="V52" s="923"/>
      <c r="W52" s="923"/>
      <c r="X52" s="923"/>
      <c r="Y52" s="923"/>
    </row>
    <row r="53" spans="20:25">
      <c r="T53" s="923"/>
      <c r="U53" s="923"/>
      <c r="V53" s="923"/>
      <c r="W53" s="923"/>
      <c r="X53" s="923"/>
      <c r="Y53" s="923"/>
    </row>
    <row r="54" spans="20:25">
      <c r="T54" s="923"/>
      <c r="U54" s="923"/>
      <c r="V54" s="923"/>
      <c r="W54" s="923"/>
      <c r="X54" s="923"/>
      <c r="Y54" s="923"/>
    </row>
    <row r="55" spans="20:25">
      <c r="T55" s="923"/>
      <c r="U55" s="923"/>
      <c r="V55" s="923"/>
      <c r="W55" s="923"/>
      <c r="X55" s="923"/>
      <c r="Y55" s="923"/>
    </row>
    <row r="56" spans="20:25">
      <c r="T56" s="923"/>
      <c r="U56" s="923"/>
      <c r="V56" s="923"/>
      <c r="W56" s="923"/>
      <c r="X56" s="923"/>
      <c r="Y56" s="923"/>
    </row>
    <row r="57" spans="20:25">
      <c r="T57" s="923"/>
      <c r="U57" s="923"/>
      <c r="V57" s="923"/>
      <c r="W57" s="923"/>
      <c r="X57" s="923"/>
      <c r="Y57" s="923"/>
    </row>
    <row r="58" spans="20:25">
      <c r="T58" s="923"/>
      <c r="U58" s="923"/>
      <c r="V58" s="923"/>
      <c r="W58" s="923"/>
      <c r="X58" s="923"/>
      <c r="Y58" s="923"/>
    </row>
    <row r="59" spans="20:25">
      <c r="T59" s="923"/>
      <c r="U59" s="923"/>
      <c r="V59" s="923"/>
      <c r="W59" s="923"/>
      <c r="X59" s="923"/>
      <c r="Y59" s="923"/>
    </row>
    <row r="60" spans="20:25">
      <c r="T60" s="923"/>
      <c r="U60" s="923"/>
      <c r="V60" s="923"/>
      <c r="W60" s="923"/>
      <c r="X60" s="923"/>
      <c r="Y60" s="923"/>
    </row>
    <row r="61" spans="20:25">
      <c r="T61" s="923"/>
      <c r="U61" s="923"/>
      <c r="V61" s="923"/>
      <c r="W61" s="923"/>
      <c r="X61" s="923"/>
      <c r="Y61" s="923"/>
    </row>
    <row r="62" spans="20:25">
      <c r="T62" s="923"/>
      <c r="U62" s="923"/>
      <c r="V62" s="923"/>
      <c r="W62" s="923"/>
      <c r="X62" s="923"/>
      <c r="Y62" s="923"/>
    </row>
    <row r="63" spans="20:25">
      <c r="T63" s="923"/>
      <c r="U63" s="923"/>
      <c r="V63" s="923"/>
      <c r="W63" s="923"/>
      <c r="X63" s="923"/>
      <c r="Y63" s="923"/>
    </row>
    <row r="64" spans="20:25">
      <c r="T64" s="923"/>
      <c r="U64" s="923"/>
      <c r="V64" s="923"/>
      <c r="W64" s="923"/>
      <c r="X64" s="923"/>
      <c r="Y64" s="923"/>
    </row>
    <row r="65" spans="20:25">
      <c r="T65" s="923"/>
      <c r="U65" s="923"/>
      <c r="V65" s="923"/>
      <c r="W65" s="923"/>
      <c r="X65" s="923"/>
      <c r="Y65" s="923"/>
    </row>
    <row r="66" spans="20:25">
      <c r="T66" s="923"/>
      <c r="U66" s="923"/>
      <c r="V66" s="923"/>
      <c r="W66" s="923"/>
      <c r="X66" s="923"/>
      <c r="Y66" s="923"/>
    </row>
    <row r="67" spans="20:25">
      <c r="T67" s="923"/>
      <c r="U67" s="923"/>
      <c r="V67" s="923"/>
      <c r="W67" s="923"/>
      <c r="X67" s="923"/>
      <c r="Y67" s="923"/>
    </row>
    <row r="68" spans="20:25">
      <c r="T68" s="923"/>
      <c r="U68" s="923"/>
      <c r="V68" s="923"/>
      <c r="W68" s="923"/>
      <c r="X68" s="923"/>
      <c r="Y68" s="923"/>
    </row>
    <row r="69" spans="20:25">
      <c r="T69" s="923"/>
      <c r="U69" s="923"/>
      <c r="V69" s="923"/>
      <c r="W69" s="923"/>
      <c r="X69" s="923"/>
      <c r="Y69" s="923"/>
    </row>
    <row r="70" spans="20:25">
      <c r="T70" s="923"/>
      <c r="U70" s="923"/>
      <c r="V70" s="923"/>
      <c r="W70" s="923"/>
      <c r="X70" s="923"/>
      <c r="Y70" s="923"/>
    </row>
    <row r="71" spans="20:25">
      <c r="T71" s="923"/>
      <c r="U71" s="923"/>
      <c r="V71" s="923"/>
      <c r="W71" s="923"/>
      <c r="X71" s="923"/>
      <c r="Y71" s="923"/>
    </row>
    <row r="72" spans="20:25">
      <c r="T72" s="923"/>
      <c r="U72" s="923"/>
      <c r="V72" s="923"/>
      <c r="W72" s="923"/>
      <c r="X72" s="923"/>
      <c r="Y72" s="923"/>
    </row>
    <row r="73" spans="20:25">
      <c r="T73" s="923"/>
      <c r="U73" s="923"/>
      <c r="V73" s="923"/>
      <c r="W73" s="923"/>
      <c r="X73" s="923"/>
      <c r="Y73" s="923"/>
    </row>
    <row r="74" spans="20:25">
      <c r="T74" s="923"/>
      <c r="U74" s="923"/>
      <c r="V74" s="923"/>
      <c r="W74" s="923"/>
      <c r="X74" s="923"/>
      <c r="Y74" s="923"/>
    </row>
    <row r="75" spans="20:25">
      <c r="T75" s="923"/>
      <c r="U75" s="923"/>
      <c r="V75" s="923"/>
      <c r="W75" s="923"/>
      <c r="X75" s="923"/>
      <c r="Y75" s="923"/>
    </row>
    <row r="76" spans="20:25">
      <c r="T76" s="923"/>
      <c r="U76" s="923"/>
      <c r="V76" s="923"/>
      <c r="W76" s="923"/>
      <c r="X76" s="923"/>
      <c r="Y76" s="923"/>
    </row>
    <row r="77" spans="20:25">
      <c r="T77" s="923"/>
      <c r="U77" s="923"/>
      <c r="V77" s="923"/>
      <c r="W77" s="923"/>
      <c r="X77" s="923"/>
      <c r="Y77" s="923"/>
    </row>
    <row r="78" spans="20:25">
      <c r="T78" s="923"/>
      <c r="U78" s="923"/>
      <c r="V78" s="923"/>
      <c r="W78" s="923"/>
      <c r="X78" s="923"/>
      <c r="Y78" s="923"/>
    </row>
    <row r="79" spans="20:25">
      <c r="T79" s="923"/>
      <c r="U79" s="923"/>
      <c r="V79" s="923"/>
      <c r="W79" s="923"/>
      <c r="X79" s="923"/>
      <c r="Y79" s="923"/>
    </row>
    <row r="80" spans="20:25">
      <c r="T80" s="923"/>
      <c r="U80" s="923"/>
      <c r="V80" s="923"/>
      <c r="W80" s="923"/>
      <c r="X80" s="923"/>
      <c r="Y80" s="923"/>
    </row>
    <row r="81" spans="20:25">
      <c r="T81" s="923"/>
      <c r="U81" s="923"/>
      <c r="V81" s="923"/>
      <c r="W81" s="923"/>
      <c r="X81" s="923"/>
      <c r="Y81" s="923"/>
    </row>
    <row r="82" spans="20:25">
      <c r="T82" s="923"/>
      <c r="U82" s="923"/>
      <c r="V82" s="923"/>
      <c r="W82" s="923"/>
      <c r="X82" s="923"/>
      <c r="Y82" s="923"/>
    </row>
    <row r="83" spans="20:25">
      <c r="T83" s="923"/>
      <c r="U83" s="923"/>
      <c r="V83" s="923"/>
      <c r="W83" s="923"/>
      <c r="X83" s="923"/>
      <c r="Y83" s="923"/>
    </row>
    <row r="84" spans="20:25">
      <c r="T84" s="923"/>
      <c r="U84" s="923"/>
      <c r="V84" s="923"/>
      <c r="W84" s="923"/>
      <c r="X84" s="923"/>
      <c r="Y84" s="923"/>
    </row>
    <row r="85" spans="20:25">
      <c r="T85" s="923"/>
      <c r="U85" s="923"/>
      <c r="V85" s="923"/>
      <c r="W85" s="923"/>
      <c r="X85" s="923"/>
      <c r="Y85" s="923"/>
    </row>
    <row r="86" spans="20:25">
      <c r="T86" s="923"/>
      <c r="U86" s="923"/>
      <c r="V86" s="923"/>
      <c r="W86" s="923"/>
      <c r="X86" s="923"/>
      <c r="Y86" s="923"/>
    </row>
    <row r="87" spans="20:25">
      <c r="T87" s="923"/>
      <c r="U87" s="923"/>
      <c r="V87" s="923"/>
      <c r="W87" s="923"/>
      <c r="X87" s="923"/>
      <c r="Y87" s="923"/>
    </row>
    <row r="88" spans="20:25">
      <c r="T88" s="923"/>
      <c r="U88" s="923"/>
      <c r="V88" s="923"/>
      <c r="W88" s="923"/>
      <c r="X88" s="923"/>
      <c r="Y88" s="923"/>
    </row>
    <row r="89" spans="20:25" ht="14.25" customHeight="1">
      <c r="T89" s="923"/>
      <c r="U89" s="923"/>
      <c r="V89" s="923"/>
      <c r="W89" s="923"/>
      <c r="X89" s="923"/>
      <c r="Y89" s="923"/>
    </row>
    <row r="90" spans="20:25">
      <c r="T90" s="923"/>
      <c r="U90" s="923"/>
      <c r="V90" s="923"/>
      <c r="W90" s="923"/>
      <c r="X90" s="923"/>
      <c r="Y90" s="923"/>
    </row>
    <row r="91" spans="20:25">
      <c r="T91" s="923"/>
      <c r="U91" s="923"/>
      <c r="V91" s="923"/>
      <c r="W91" s="923"/>
      <c r="X91" s="923"/>
      <c r="Y91" s="923"/>
    </row>
    <row r="92" spans="20:25">
      <c r="T92" s="923"/>
      <c r="U92" s="923"/>
      <c r="V92" s="923"/>
      <c r="W92" s="923"/>
      <c r="X92" s="923"/>
      <c r="Y92" s="923"/>
    </row>
    <row r="93" spans="20:25">
      <c r="T93" s="923"/>
      <c r="U93" s="923"/>
      <c r="V93" s="923"/>
      <c r="W93" s="923"/>
      <c r="X93" s="923"/>
      <c r="Y93" s="923"/>
    </row>
    <row r="94" spans="20:25">
      <c r="T94" s="923"/>
      <c r="U94" s="923"/>
      <c r="V94" s="923"/>
      <c r="W94" s="923"/>
      <c r="X94" s="923"/>
      <c r="Y94" s="923"/>
    </row>
    <row r="95" spans="20:25">
      <c r="T95" s="923"/>
      <c r="U95" s="923"/>
      <c r="V95" s="923"/>
      <c r="W95" s="923"/>
      <c r="X95" s="923"/>
      <c r="Y95" s="923"/>
    </row>
    <row r="96" spans="20:25">
      <c r="T96" s="923"/>
      <c r="U96" s="923"/>
      <c r="V96" s="923"/>
      <c r="W96" s="923"/>
      <c r="X96" s="923"/>
      <c r="Y96" s="923"/>
    </row>
    <row r="97" spans="20:25">
      <c r="T97" s="923"/>
      <c r="U97" s="923"/>
      <c r="V97" s="923"/>
      <c r="W97" s="923"/>
      <c r="X97" s="923"/>
      <c r="Y97" s="923"/>
    </row>
    <row r="98" spans="20:25">
      <c r="T98" s="923"/>
      <c r="U98" s="923"/>
      <c r="V98" s="923"/>
      <c r="W98" s="923"/>
      <c r="X98" s="923"/>
      <c r="Y98" s="923"/>
    </row>
    <row r="99" spans="20:25">
      <c r="T99" s="923"/>
      <c r="U99" s="923"/>
      <c r="V99" s="923"/>
      <c r="W99" s="923"/>
      <c r="X99" s="923"/>
      <c r="Y99" s="923"/>
    </row>
    <row r="100" spans="20:25">
      <c r="T100" s="923"/>
      <c r="U100" s="923"/>
      <c r="V100" s="923"/>
      <c r="W100" s="923"/>
      <c r="X100" s="923"/>
      <c r="Y100" s="923"/>
    </row>
    <row r="101" spans="20:25">
      <c r="T101" s="923"/>
      <c r="U101" s="923"/>
      <c r="V101" s="923"/>
      <c r="W101" s="923"/>
      <c r="X101" s="923"/>
      <c r="Y101" s="923"/>
    </row>
    <row r="102" spans="20:25">
      <c r="T102" s="923"/>
      <c r="U102" s="923"/>
      <c r="V102" s="923"/>
      <c r="W102" s="923"/>
      <c r="X102" s="923"/>
      <c r="Y102" s="923"/>
    </row>
    <row r="103" spans="20:25">
      <c r="T103" s="923"/>
      <c r="U103" s="923"/>
      <c r="V103" s="923"/>
      <c r="W103" s="923"/>
      <c r="X103" s="923"/>
      <c r="Y103" s="923"/>
    </row>
    <row r="104" spans="20:25">
      <c r="T104" s="923"/>
      <c r="U104" s="923"/>
      <c r="V104" s="923"/>
      <c r="W104" s="923"/>
      <c r="X104" s="923"/>
      <c r="Y104" s="923"/>
    </row>
    <row r="105" spans="20:25">
      <c r="T105" s="923"/>
      <c r="U105" s="923"/>
      <c r="V105" s="923"/>
      <c r="W105" s="923"/>
      <c r="X105" s="923"/>
      <c r="Y105" s="923"/>
    </row>
    <row r="106" spans="20:25">
      <c r="T106" s="923"/>
      <c r="U106" s="923"/>
      <c r="V106" s="923"/>
      <c r="W106" s="923"/>
      <c r="X106" s="923"/>
      <c r="Y106" s="923"/>
    </row>
    <row r="107" spans="20:25">
      <c r="T107" s="923"/>
      <c r="U107" s="923"/>
      <c r="V107" s="923"/>
      <c r="W107" s="923"/>
      <c r="X107" s="923"/>
      <c r="Y107" s="923"/>
    </row>
    <row r="108" spans="20:25">
      <c r="T108" s="923"/>
      <c r="U108" s="923"/>
      <c r="V108" s="923"/>
      <c r="W108" s="923"/>
      <c r="X108" s="923"/>
      <c r="Y108" s="923"/>
    </row>
  </sheetData>
  <mergeCells count="17">
    <mergeCell ref="A33:T33"/>
    <mergeCell ref="S4:T4"/>
    <mergeCell ref="Q4:R4"/>
    <mergeCell ref="Y4:Y5"/>
    <mergeCell ref="B4:B5"/>
    <mergeCell ref="W4:X4"/>
    <mergeCell ref="A1:Y1"/>
    <mergeCell ref="A4:A5"/>
    <mergeCell ref="C4:D4"/>
    <mergeCell ref="E4:F4"/>
    <mergeCell ref="G4:H4"/>
    <mergeCell ref="I4:J4"/>
    <mergeCell ref="K4:L4"/>
    <mergeCell ref="M4:N4"/>
    <mergeCell ref="O4:P4"/>
    <mergeCell ref="A2:Y2"/>
    <mergeCell ref="U4:V4"/>
  </mergeCells>
  <conditionalFormatting sqref="AA4:XFD31">
    <cfRule type="expression" dxfId="43" priority="2">
      <formula>MOD(ROW(),3)=1</formula>
    </cfRule>
  </conditionalFormatting>
  <conditionalFormatting sqref="A6:Y31">
    <cfRule type="expression" dxfId="42" priority="1">
      <formula>MOD(ROW(),3)=1</formula>
    </cfRule>
  </conditionalFormatting>
  <printOptions horizontalCentered="1"/>
  <pageMargins left="0.6692913385826772" right="0.15748031496062992" top="0.55118110236220474" bottom="0.74803149606299213" header="0.31496062992125984" footer="0.31496062992125984"/>
  <pageSetup paperSize="9" scale="76" fitToHeight="0" orientation="landscape" r:id="rId1"/>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0B7B4-B5C4-4645-A8A7-FF4611F11B2A}">
  <dimension ref="A1:Y47"/>
  <sheetViews>
    <sheetView view="pageBreakPreview" topLeftCell="A40" zoomScale="85" zoomScaleSheetLayoutView="85" workbookViewId="0">
      <selection activeCell="S17" sqref="S17"/>
    </sheetView>
  </sheetViews>
  <sheetFormatPr defaultColWidth="9.140625" defaultRowHeight="15"/>
  <cols>
    <col min="1" max="1" width="10.28515625" style="491" customWidth="1"/>
    <col min="2" max="2" width="21" style="1" customWidth="1"/>
    <col min="3" max="8" width="0" style="1" hidden="1" customWidth="1"/>
    <col min="9" max="9" width="9.7109375" style="1" hidden="1" customWidth="1"/>
    <col min="10" max="10" width="10.5703125" style="1" hidden="1" customWidth="1"/>
    <col min="11" max="11" width="0" style="1" hidden="1" customWidth="1"/>
    <col min="12" max="12" width="11.5703125" style="1" hidden="1" customWidth="1"/>
    <col min="13" max="13" width="9.42578125" style="1" hidden="1" customWidth="1"/>
    <col min="14" max="14" width="10.42578125" style="1" hidden="1" customWidth="1"/>
    <col min="15" max="15" width="10" style="1" customWidth="1"/>
    <col min="16" max="16" width="9.140625" style="1" customWidth="1"/>
    <col min="17" max="17" width="9.28515625" style="1" customWidth="1"/>
    <col min="18" max="18" width="8.5703125" style="1" customWidth="1"/>
    <col min="19" max="19" width="8.7109375" style="1" customWidth="1"/>
    <col min="20" max="20" width="8.28515625" style="1" customWidth="1"/>
    <col min="21" max="21" width="8.85546875" style="1" customWidth="1"/>
    <col min="22" max="24" width="8.28515625" style="1" customWidth="1"/>
    <col min="25" max="25" width="29.140625" style="1" customWidth="1"/>
    <col min="26" max="16384" width="9.140625" style="1"/>
  </cols>
  <sheetData>
    <row r="1" spans="1:25" s="7" customFormat="1" ht="30.75" customHeight="1" thickTop="1">
      <c r="A1" s="2333" t="s">
        <v>2790</v>
      </c>
      <c r="B1" s="2334"/>
      <c r="C1" s="2334"/>
      <c r="D1" s="2334"/>
      <c r="E1" s="2334"/>
      <c r="F1" s="2334"/>
      <c r="G1" s="2334"/>
      <c r="H1" s="2334"/>
      <c r="I1" s="2334"/>
      <c r="J1" s="2334"/>
      <c r="K1" s="2334"/>
      <c r="L1" s="2334"/>
      <c r="M1" s="2334"/>
      <c r="N1" s="2334"/>
      <c r="O1" s="2334"/>
      <c r="P1" s="2334"/>
      <c r="Q1" s="2334"/>
      <c r="R1" s="2334"/>
      <c r="S1" s="2334"/>
      <c r="T1" s="2334"/>
      <c r="U1" s="2334"/>
      <c r="V1" s="2334"/>
      <c r="W1" s="2334"/>
      <c r="X1" s="2334"/>
      <c r="Y1" s="2335"/>
    </row>
    <row r="2" spans="1:25" s="7" customFormat="1" ht="30.75" customHeight="1">
      <c r="A2" s="2336" t="s">
        <v>2791</v>
      </c>
      <c r="B2" s="2337"/>
      <c r="C2" s="2337"/>
      <c r="D2" s="2337"/>
      <c r="E2" s="2337"/>
      <c r="F2" s="2337"/>
      <c r="G2" s="2337"/>
      <c r="H2" s="2337"/>
      <c r="I2" s="2337"/>
      <c r="J2" s="2337"/>
      <c r="K2" s="2337"/>
      <c r="L2" s="2337"/>
      <c r="M2" s="2337"/>
      <c r="N2" s="2337"/>
      <c r="O2" s="2337"/>
      <c r="P2" s="2337"/>
      <c r="Q2" s="2337"/>
      <c r="R2" s="2337"/>
      <c r="S2" s="2337"/>
      <c r="T2" s="2337"/>
      <c r="U2" s="2337"/>
      <c r="V2" s="2337"/>
      <c r="W2" s="2337"/>
      <c r="X2" s="2337"/>
      <c r="Y2" s="2338"/>
    </row>
    <row r="3" spans="1:25" s="7" customFormat="1" ht="21" customHeight="1">
      <c r="A3" s="946"/>
      <c r="B3" s="1391"/>
      <c r="C3" s="945"/>
      <c r="D3" s="945"/>
      <c r="E3" s="945"/>
      <c r="F3" s="945"/>
      <c r="G3" s="945"/>
      <c r="H3" s="945"/>
      <c r="I3" s="945"/>
      <c r="J3" s="945"/>
      <c r="K3" s="945"/>
      <c r="L3" s="945"/>
      <c r="M3" s="945"/>
      <c r="N3" s="945"/>
      <c r="O3" s="945"/>
      <c r="P3" s="2339" t="s">
        <v>2005</v>
      </c>
      <c r="Q3" s="2339"/>
      <c r="R3" s="2339"/>
      <c r="S3" s="2339"/>
      <c r="T3" s="2339"/>
      <c r="U3" s="2339"/>
      <c r="V3" s="2339"/>
      <c r="W3" s="2339"/>
      <c r="X3" s="2339"/>
      <c r="Y3" s="2340"/>
    </row>
    <row r="4" spans="1:25" s="95" customFormat="1" ht="24" customHeight="1">
      <c r="A4" s="1928" t="s">
        <v>688</v>
      </c>
      <c r="B4" s="2341" t="s">
        <v>2004</v>
      </c>
      <c r="C4" s="2342" t="s">
        <v>1934</v>
      </c>
      <c r="D4" s="2341"/>
      <c r="E4" s="2341" t="s">
        <v>1933</v>
      </c>
      <c r="F4" s="2341"/>
      <c r="G4" s="2341" t="s">
        <v>1932</v>
      </c>
      <c r="H4" s="2341"/>
      <c r="I4" s="1948" t="s">
        <v>2003</v>
      </c>
      <c r="J4" s="1948"/>
      <c r="K4" s="1948" t="s">
        <v>1931</v>
      </c>
      <c r="L4" s="1948"/>
      <c r="M4" s="1948" t="s">
        <v>1930</v>
      </c>
      <c r="N4" s="1948"/>
      <c r="O4" s="1948" t="s">
        <v>1929</v>
      </c>
      <c r="P4" s="1948"/>
      <c r="Q4" s="1948" t="s">
        <v>1928</v>
      </c>
      <c r="R4" s="1948"/>
      <c r="S4" s="1948" t="s">
        <v>522</v>
      </c>
      <c r="T4" s="1948"/>
      <c r="U4" s="1948" t="s">
        <v>652</v>
      </c>
      <c r="V4" s="1948"/>
      <c r="W4" s="1948" t="s">
        <v>1654</v>
      </c>
      <c r="X4" s="1948"/>
      <c r="Y4" s="2286" t="s">
        <v>1926</v>
      </c>
    </row>
    <row r="5" spans="1:25" s="95" customFormat="1" ht="72" customHeight="1">
      <c r="A5" s="1928"/>
      <c r="B5" s="2341"/>
      <c r="C5" s="1565" t="s">
        <v>1925</v>
      </c>
      <c r="D5" s="1564" t="s">
        <v>2002</v>
      </c>
      <c r="E5" s="1564" t="s">
        <v>2001</v>
      </c>
      <c r="F5" s="1564" t="s">
        <v>2000</v>
      </c>
      <c r="G5" s="1564" t="s">
        <v>2001</v>
      </c>
      <c r="H5" s="1564" t="s">
        <v>2000</v>
      </c>
      <c r="I5" s="79" t="s">
        <v>1922</v>
      </c>
      <c r="J5" s="79" t="s">
        <v>1921</v>
      </c>
      <c r="K5" s="79" t="s">
        <v>1922</v>
      </c>
      <c r="L5" s="79" t="s">
        <v>1921</v>
      </c>
      <c r="M5" s="79" t="s">
        <v>1922</v>
      </c>
      <c r="N5" s="79" t="s">
        <v>1921</v>
      </c>
      <c r="O5" s="265" t="s">
        <v>1920</v>
      </c>
      <c r="P5" s="265" t="s">
        <v>897</v>
      </c>
      <c r="Q5" s="265" t="s">
        <v>1920</v>
      </c>
      <c r="R5" s="265" t="s">
        <v>897</v>
      </c>
      <c r="S5" s="265" t="s">
        <v>1920</v>
      </c>
      <c r="T5" s="265" t="s">
        <v>897</v>
      </c>
      <c r="U5" s="265" t="s">
        <v>1920</v>
      </c>
      <c r="V5" s="265" t="s">
        <v>897</v>
      </c>
      <c r="W5" s="265" t="s">
        <v>1920</v>
      </c>
      <c r="X5" s="265" t="s">
        <v>897</v>
      </c>
      <c r="Y5" s="2286"/>
    </row>
    <row r="6" spans="1:25" s="7" customFormat="1" ht="21.75" customHeight="1">
      <c r="A6" s="1157">
        <v>1</v>
      </c>
      <c r="B6" s="5" t="s">
        <v>1999</v>
      </c>
      <c r="C6" s="31">
        <v>6344</v>
      </c>
      <c r="D6" s="5">
        <v>3192</v>
      </c>
      <c r="E6" s="5">
        <v>6344</v>
      </c>
      <c r="F6" s="5">
        <v>3637</v>
      </c>
      <c r="G6" s="5">
        <v>6344</v>
      </c>
      <c r="H6" s="5">
        <v>3872</v>
      </c>
      <c r="I6" s="3">
        <v>6344</v>
      </c>
      <c r="J6" s="3">
        <v>3627</v>
      </c>
      <c r="K6" s="3">
        <v>6344</v>
      </c>
      <c r="L6" s="3">
        <v>2093</v>
      </c>
      <c r="M6" s="3">
        <v>6344</v>
      </c>
      <c r="N6" s="3">
        <v>2263</v>
      </c>
      <c r="O6" s="396">
        <v>6344</v>
      </c>
      <c r="P6" s="396">
        <v>1265</v>
      </c>
      <c r="Q6" s="396">
        <v>3144</v>
      </c>
      <c r="R6" s="396">
        <v>1366</v>
      </c>
      <c r="S6" s="396">
        <v>6344</v>
      </c>
      <c r="T6" s="396">
        <v>1103</v>
      </c>
      <c r="U6" s="396">
        <v>6340</v>
      </c>
      <c r="V6" s="396">
        <v>570</v>
      </c>
      <c r="W6" s="942">
        <v>6344</v>
      </c>
      <c r="X6" s="940">
        <v>5700</v>
      </c>
      <c r="Y6" s="630" t="s">
        <v>1998</v>
      </c>
    </row>
    <row r="7" spans="1:25" s="7" customFormat="1" ht="21.75" customHeight="1">
      <c r="A7" s="1157">
        <v>2</v>
      </c>
      <c r="B7" s="5" t="s">
        <v>1997</v>
      </c>
      <c r="C7" s="31">
        <v>4600</v>
      </c>
      <c r="D7" s="5">
        <v>3049</v>
      </c>
      <c r="E7" s="5">
        <v>3800</v>
      </c>
      <c r="F7" s="5">
        <v>2549</v>
      </c>
      <c r="G7" s="5">
        <v>3800</v>
      </c>
      <c r="H7" s="5">
        <v>1708</v>
      </c>
      <c r="I7" s="3">
        <v>2600</v>
      </c>
      <c r="J7" s="3">
        <v>2241</v>
      </c>
      <c r="K7" s="3">
        <v>3800</v>
      </c>
      <c r="L7" s="3">
        <v>2042</v>
      </c>
      <c r="M7" s="3">
        <v>3800</v>
      </c>
      <c r="N7" s="3">
        <v>2255</v>
      </c>
      <c r="O7" s="396">
        <v>3800</v>
      </c>
      <c r="P7" s="396">
        <v>3293</v>
      </c>
      <c r="Q7" s="396">
        <v>3200</v>
      </c>
      <c r="R7" s="396">
        <v>4390</v>
      </c>
      <c r="S7" s="396">
        <v>3800</v>
      </c>
      <c r="T7" s="396">
        <v>3793</v>
      </c>
      <c r="U7" s="396">
        <v>3800</v>
      </c>
      <c r="V7" s="396">
        <v>3840</v>
      </c>
      <c r="W7" s="942">
        <v>3800</v>
      </c>
      <c r="X7" s="940">
        <v>3840</v>
      </c>
      <c r="Y7" s="630" t="s">
        <v>1996</v>
      </c>
    </row>
    <row r="8" spans="1:25" s="7" customFormat="1" ht="21.75" customHeight="1">
      <c r="A8" s="1157">
        <v>3</v>
      </c>
      <c r="B8" s="5" t="s">
        <v>1995</v>
      </c>
      <c r="C8" s="31">
        <v>5650</v>
      </c>
      <c r="D8" s="5">
        <v>1171</v>
      </c>
      <c r="E8" s="5">
        <v>5650</v>
      </c>
      <c r="F8" s="5">
        <v>728</v>
      </c>
      <c r="G8" s="5">
        <v>5650</v>
      </c>
      <c r="H8" s="5">
        <v>806</v>
      </c>
      <c r="I8" s="3">
        <v>1450</v>
      </c>
      <c r="J8" s="3">
        <v>1433</v>
      </c>
      <c r="K8" s="3">
        <v>1450</v>
      </c>
      <c r="L8" s="3">
        <v>1437</v>
      </c>
      <c r="M8" s="3">
        <v>1450</v>
      </c>
      <c r="N8" s="3">
        <v>1372</v>
      </c>
      <c r="O8" s="396">
        <v>1450</v>
      </c>
      <c r="P8" s="396">
        <v>1184</v>
      </c>
      <c r="Q8" s="396">
        <v>1450</v>
      </c>
      <c r="R8" s="396">
        <v>1257</v>
      </c>
      <c r="S8" s="396">
        <v>1450</v>
      </c>
      <c r="T8" s="396">
        <v>1446</v>
      </c>
      <c r="U8" s="396">
        <v>1450</v>
      </c>
      <c r="V8" s="396">
        <v>1450</v>
      </c>
      <c r="W8" s="942">
        <v>1450</v>
      </c>
      <c r="X8" s="940">
        <v>1450</v>
      </c>
      <c r="Y8" s="630" t="s">
        <v>1994</v>
      </c>
    </row>
    <row r="9" spans="1:25" s="7" customFormat="1" ht="21.75" customHeight="1">
      <c r="A9" s="1157">
        <v>4</v>
      </c>
      <c r="B9" s="5" t="s">
        <v>1993</v>
      </c>
      <c r="C9" s="31">
        <v>23680</v>
      </c>
      <c r="D9" s="5">
        <v>3475</v>
      </c>
      <c r="E9" s="5">
        <v>23680</v>
      </c>
      <c r="F9" s="5">
        <v>4640</v>
      </c>
      <c r="G9" s="5">
        <v>23680</v>
      </c>
      <c r="H9" s="5">
        <v>4405</v>
      </c>
      <c r="I9" s="3">
        <v>33920</v>
      </c>
      <c r="J9" s="3">
        <v>6657</v>
      </c>
      <c r="K9" s="3">
        <v>33920</v>
      </c>
      <c r="L9" s="3">
        <v>7219</v>
      </c>
      <c r="M9" s="3">
        <v>33920</v>
      </c>
      <c r="N9" s="3">
        <v>8130</v>
      </c>
      <c r="O9" s="396">
        <v>33620</v>
      </c>
      <c r="P9" s="396">
        <v>8127</v>
      </c>
      <c r="Q9" s="396">
        <v>33620</v>
      </c>
      <c r="R9" s="396">
        <v>9136</v>
      </c>
      <c r="S9" s="396">
        <v>33620</v>
      </c>
      <c r="T9" s="396">
        <v>0</v>
      </c>
      <c r="U9" s="396">
        <v>33620</v>
      </c>
      <c r="V9" s="396">
        <v>940</v>
      </c>
      <c r="W9" s="942">
        <v>33620</v>
      </c>
      <c r="X9" s="940">
        <v>940</v>
      </c>
      <c r="Y9" s="630" t="s">
        <v>1992</v>
      </c>
    </row>
    <row r="10" spans="1:25" s="7" customFormat="1" ht="21.75" customHeight="1">
      <c r="A10" s="1157">
        <v>5</v>
      </c>
      <c r="B10" s="5" t="s">
        <v>1991</v>
      </c>
      <c r="C10" s="31">
        <v>2200</v>
      </c>
      <c r="D10" s="5">
        <v>1008</v>
      </c>
      <c r="E10" s="5">
        <v>2800</v>
      </c>
      <c r="F10" s="5">
        <v>999</v>
      </c>
      <c r="G10" s="5">
        <v>2800</v>
      </c>
      <c r="H10" s="5">
        <v>1346</v>
      </c>
      <c r="I10" s="3">
        <v>2800</v>
      </c>
      <c r="J10" s="3">
        <v>1881</v>
      </c>
      <c r="K10" s="3">
        <v>2800</v>
      </c>
      <c r="L10" s="3">
        <v>839</v>
      </c>
      <c r="M10" s="3">
        <v>2800</v>
      </c>
      <c r="N10" s="3">
        <v>1289</v>
      </c>
      <c r="O10" s="396">
        <v>2200</v>
      </c>
      <c r="P10" s="396">
        <v>1184</v>
      </c>
      <c r="Q10" s="396">
        <v>2200</v>
      </c>
      <c r="R10" s="396">
        <v>885</v>
      </c>
      <c r="S10" s="396">
        <v>2200</v>
      </c>
      <c r="T10" s="396">
        <v>856</v>
      </c>
      <c r="U10" s="396">
        <v>3400</v>
      </c>
      <c r="V10" s="396">
        <v>1060</v>
      </c>
      <c r="W10" s="942">
        <v>3400</v>
      </c>
      <c r="X10" s="940">
        <v>1060</v>
      </c>
      <c r="Y10" s="630" t="s">
        <v>1990</v>
      </c>
    </row>
    <row r="11" spans="1:25" s="7" customFormat="1" ht="21.75" customHeight="1">
      <c r="A11" s="1157">
        <v>6</v>
      </c>
      <c r="B11" s="5" t="s">
        <v>1989</v>
      </c>
      <c r="C11" s="31">
        <v>12836</v>
      </c>
      <c r="D11" s="5">
        <v>9932</v>
      </c>
      <c r="E11" s="5">
        <v>12836</v>
      </c>
      <c r="F11" s="5">
        <v>9588</v>
      </c>
      <c r="G11" s="5">
        <v>12836</v>
      </c>
      <c r="H11" s="5">
        <v>8245</v>
      </c>
      <c r="I11" s="3">
        <v>13180</v>
      </c>
      <c r="J11" s="3">
        <v>6967</v>
      </c>
      <c r="K11" s="3">
        <v>13940</v>
      </c>
      <c r="L11" s="3">
        <v>5484</v>
      </c>
      <c r="M11" s="3">
        <v>13940</v>
      </c>
      <c r="N11" s="3">
        <v>6577</v>
      </c>
      <c r="O11" s="396">
        <v>13940</v>
      </c>
      <c r="P11" s="396">
        <v>5500</v>
      </c>
      <c r="Q11" s="396">
        <v>13840</v>
      </c>
      <c r="R11" s="396">
        <v>5298</v>
      </c>
      <c r="S11" s="396">
        <v>13940</v>
      </c>
      <c r="T11" s="396">
        <v>5817</v>
      </c>
      <c r="U11" s="396">
        <v>13940</v>
      </c>
      <c r="V11" s="396">
        <v>7920</v>
      </c>
      <c r="W11" s="942">
        <v>13940</v>
      </c>
      <c r="X11" s="940">
        <v>7920</v>
      </c>
      <c r="Y11" s="630" t="s">
        <v>1988</v>
      </c>
    </row>
    <row r="12" spans="1:25" s="7" customFormat="1" ht="21.75" customHeight="1">
      <c r="A12" s="1157">
        <v>7</v>
      </c>
      <c r="B12" s="5" t="s">
        <v>1987</v>
      </c>
      <c r="C12" s="31">
        <v>2000</v>
      </c>
      <c r="D12" s="5">
        <v>285</v>
      </c>
      <c r="E12" s="5">
        <v>2000</v>
      </c>
      <c r="F12" s="5">
        <v>58</v>
      </c>
      <c r="G12" s="5">
        <v>2000</v>
      </c>
      <c r="H12" s="5">
        <v>15</v>
      </c>
      <c r="I12" s="3">
        <v>2000</v>
      </c>
      <c r="J12" s="3">
        <v>128</v>
      </c>
      <c r="K12" s="3">
        <v>2000</v>
      </c>
      <c r="L12" s="3">
        <v>128</v>
      </c>
      <c r="M12" s="3">
        <v>2000</v>
      </c>
      <c r="N12" s="3">
        <v>90</v>
      </c>
      <c r="O12" s="396">
        <v>2000</v>
      </c>
      <c r="P12" s="396">
        <v>112</v>
      </c>
      <c r="Q12" s="396">
        <v>2000</v>
      </c>
      <c r="R12" s="396">
        <v>0</v>
      </c>
      <c r="S12" s="396">
        <v>2000</v>
      </c>
      <c r="T12" s="396">
        <v>0</v>
      </c>
      <c r="U12" s="396">
        <v>2000</v>
      </c>
      <c r="V12" s="396">
        <v>0</v>
      </c>
      <c r="W12" s="942">
        <v>2000</v>
      </c>
      <c r="X12" s="940">
        <v>0</v>
      </c>
      <c r="Y12" s="630" t="s">
        <v>1986</v>
      </c>
    </row>
    <row r="13" spans="1:25" s="7" customFormat="1" ht="21.75" customHeight="1">
      <c r="A13" s="1157">
        <v>8</v>
      </c>
      <c r="B13" s="5" t="s">
        <v>1985</v>
      </c>
      <c r="C13" s="31">
        <v>9125</v>
      </c>
      <c r="D13" s="5">
        <v>7667</v>
      </c>
      <c r="E13" s="5">
        <v>9125</v>
      </c>
      <c r="F13" s="5">
        <v>7007</v>
      </c>
      <c r="G13" s="5">
        <v>9125</v>
      </c>
      <c r="H13" s="5">
        <v>5749</v>
      </c>
      <c r="I13" s="3">
        <v>10125</v>
      </c>
      <c r="J13" s="3">
        <v>6619</v>
      </c>
      <c r="K13" s="3">
        <v>10125</v>
      </c>
      <c r="L13" s="3">
        <v>5916</v>
      </c>
      <c r="M13" s="3">
        <v>12400</v>
      </c>
      <c r="N13" s="3">
        <v>5910</v>
      </c>
      <c r="O13" s="396">
        <v>12400</v>
      </c>
      <c r="P13" s="396">
        <v>7016</v>
      </c>
      <c r="Q13" s="396">
        <v>12400</v>
      </c>
      <c r="R13" s="396">
        <v>5847</v>
      </c>
      <c r="S13" s="396">
        <v>12400</v>
      </c>
      <c r="T13" s="396">
        <v>0</v>
      </c>
      <c r="U13" s="396">
        <v>12400</v>
      </c>
      <c r="V13" s="396">
        <v>0</v>
      </c>
      <c r="W13" s="942">
        <v>12400</v>
      </c>
      <c r="X13" s="940">
        <v>0</v>
      </c>
      <c r="Y13" s="630" t="s">
        <v>1984</v>
      </c>
    </row>
    <row r="14" spans="1:25" s="7" customFormat="1" ht="21.75" customHeight="1">
      <c r="A14" s="1157">
        <v>9</v>
      </c>
      <c r="B14" s="5" t="s">
        <v>1983</v>
      </c>
      <c r="C14" s="31">
        <v>2500</v>
      </c>
      <c r="D14" s="5">
        <v>1921</v>
      </c>
      <c r="E14" s="5">
        <v>2500</v>
      </c>
      <c r="F14" s="5">
        <v>1332</v>
      </c>
      <c r="G14" s="5">
        <v>2500</v>
      </c>
      <c r="H14" s="5">
        <v>936</v>
      </c>
      <c r="I14" s="3">
        <v>3100</v>
      </c>
      <c r="J14" s="3">
        <v>1773</v>
      </c>
      <c r="K14" s="3">
        <v>2800</v>
      </c>
      <c r="L14" s="3">
        <v>1840</v>
      </c>
      <c r="M14" s="3">
        <v>2800</v>
      </c>
      <c r="N14" s="3">
        <v>2486</v>
      </c>
      <c r="O14" s="396">
        <v>2800</v>
      </c>
      <c r="P14" s="396">
        <v>2463</v>
      </c>
      <c r="Q14" s="396">
        <v>2800</v>
      </c>
      <c r="R14" s="396">
        <v>1407</v>
      </c>
      <c r="S14" s="396">
        <v>2800</v>
      </c>
      <c r="T14" s="396">
        <v>2127</v>
      </c>
      <c r="U14" s="396">
        <v>2800</v>
      </c>
      <c r="V14" s="396">
        <v>2220</v>
      </c>
      <c r="W14" s="942">
        <v>2800</v>
      </c>
      <c r="X14" s="940">
        <v>2220</v>
      </c>
      <c r="Y14" s="630" t="s">
        <v>1982</v>
      </c>
    </row>
    <row r="15" spans="1:25" s="7" customFormat="1" ht="21.75" customHeight="1">
      <c r="A15" s="1157">
        <v>10</v>
      </c>
      <c r="B15" s="5" t="s">
        <v>1981</v>
      </c>
      <c r="C15" s="31">
        <v>10790</v>
      </c>
      <c r="D15" s="5">
        <v>11491</v>
      </c>
      <c r="E15" s="5">
        <v>12390</v>
      </c>
      <c r="F15" s="5">
        <v>1352</v>
      </c>
      <c r="G15" s="5">
        <v>0</v>
      </c>
      <c r="H15" s="5">
        <v>0</v>
      </c>
      <c r="I15" s="5">
        <v>0</v>
      </c>
      <c r="J15" s="3">
        <v>0</v>
      </c>
      <c r="K15" s="3">
        <v>0</v>
      </c>
      <c r="L15" s="3">
        <v>0</v>
      </c>
      <c r="M15" s="3">
        <v>0</v>
      </c>
      <c r="N15" s="3">
        <v>0</v>
      </c>
      <c r="O15" s="396">
        <v>0</v>
      </c>
      <c r="P15" s="396">
        <v>0</v>
      </c>
      <c r="Q15" s="396">
        <v>0</v>
      </c>
      <c r="R15" s="396">
        <v>0</v>
      </c>
      <c r="S15" s="396">
        <v>0</v>
      </c>
      <c r="T15" s="396">
        <v>0</v>
      </c>
      <c r="U15" s="396"/>
      <c r="V15" s="396"/>
      <c r="W15"/>
      <c r="X15"/>
      <c r="Y15" s="630" t="s">
        <v>1980</v>
      </c>
    </row>
    <row r="16" spans="1:25" s="7" customFormat="1" ht="21.75" customHeight="1">
      <c r="A16" s="1157">
        <v>11</v>
      </c>
      <c r="B16" s="5" t="s">
        <v>1979</v>
      </c>
      <c r="C16" s="31">
        <v>3940</v>
      </c>
      <c r="D16" s="5">
        <v>805</v>
      </c>
      <c r="E16" s="5">
        <v>3940</v>
      </c>
      <c r="F16" s="5">
        <v>547</v>
      </c>
      <c r="G16" s="5">
        <v>3600</v>
      </c>
      <c r="H16" s="5">
        <v>479</v>
      </c>
      <c r="I16" s="3">
        <v>3600</v>
      </c>
      <c r="J16" s="3">
        <v>512</v>
      </c>
      <c r="K16" s="3">
        <v>3600</v>
      </c>
      <c r="L16" s="3">
        <v>557</v>
      </c>
      <c r="M16" s="3">
        <v>3600</v>
      </c>
      <c r="N16" s="3">
        <v>529</v>
      </c>
      <c r="O16" s="396">
        <v>3600</v>
      </c>
      <c r="P16" s="396">
        <v>741</v>
      </c>
      <c r="Q16" s="396">
        <v>3600</v>
      </c>
      <c r="R16" s="396">
        <v>695</v>
      </c>
      <c r="S16" s="396">
        <v>4960</v>
      </c>
      <c r="T16" s="396">
        <v>670</v>
      </c>
      <c r="U16" s="396">
        <v>4960</v>
      </c>
      <c r="V16" s="396">
        <v>490</v>
      </c>
      <c r="W16" s="942">
        <v>4960</v>
      </c>
      <c r="X16" s="940">
        <v>490</v>
      </c>
      <c r="Y16" s="630" t="s">
        <v>1978</v>
      </c>
    </row>
    <row r="17" spans="1:25" s="7" customFormat="1" ht="21.75" customHeight="1">
      <c r="A17" s="1157">
        <v>12</v>
      </c>
      <c r="B17" s="5" t="s">
        <v>1977</v>
      </c>
      <c r="C17" s="31">
        <v>23930</v>
      </c>
      <c r="D17" s="5">
        <v>7210</v>
      </c>
      <c r="E17" s="5">
        <v>26190</v>
      </c>
      <c r="F17" s="5">
        <v>10409</v>
      </c>
      <c r="G17" s="5">
        <v>26590</v>
      </c>
      <c r="H17" s="5">
        <v>7777</v>
      </c>
      <c r="I17" s="3">
        <v>27790</v>
      </c>
      <c r="J17" s="3">
        <v>8587</v>
      </c>
      <c r="K17" s="3">
        <v>27790</v>
      </c>
      <c r="L17" s="3">
        <v>8526</v>
      </c>
      <c r="M17" s="3">
        <v>24330</v>
      </c>
      <c r="N17" s="3">
        <v>7875</v>
      </c>
      <c r="O17" s="396">
        <v>24426</v>
      </c>
      <c r="P17" s="396">
        <v>8246</v>
      </c>
      <c r="Q17" s="396">
        <v>25101</v>
      </c>
      <c r="R17" s="396">
        <v>10952</v>
      </c>
      <c r="S17" s="396">
        <v>23826</v>
      </c>
      <c r="T17" s="396">
        <v>10865</v>
      </c>
      <c r="U17" s="396">
        <v>23830</v>
      </c>
      <c r="V17" s="396">
        <v>12290</v>
      </c>
      <c r="W17" s="942">
        <v>23830</v>
      </c>
      <c r="X17" s="940">
        <v>12290</v>
      </c>
      <c r="Y17" s="630" t="s">
        <v>1976</v>
      </c>
    </row>
    <row r="18" spans="1:25" s="7" customFormat="1" ht="21.75" customHeight="1">
      <c r="A18" s="1157">
        <v>13</v>
      </c>
      <c r="B18" s="5" t="s">
        <v>1975</v>
      </c>
      <c r="C18" s="31">
        <v>17180</v>
      </c>
      <c r="D18" s="5">
        <v>16485</v>
      </c>
      <c r="E18" s="5">
        <v>17180</v>
      </c>
      <c r="F18" s="5">
        <v>17111</v>
      </c>
      <c r="G18" s="5">
        <v>14180</v>
      </c>
      <c r="H18" s="5">
        <v>15764</v>
      </c>
      <c r="I18" s="3">
        <v>19250</v>
      </c>
      <c r="J18" s="3">
        <v>17971</v>
      </c>
      <c r="K18" s="3">
        <v>19670</v>
      </c>
      <c r="L18" s="3">
        <v>16580</v>
      </c>
      <c r="M18" s="3">
        <v>19670</v>
      </c>
      <c r="N18" s="3">
        <v>16265</v>
      </c>
      <c r="O18" s="396">
        <v>18970</v>
      </c>
      <c r="P18" s="396">
        <v>18271</v>
      </c>
      <c r="Q18" s="396">
        <v>17500</v>
      </c>
      <c r="R18" s="396">
        <v>19633</v>
      </c>
      <c r="S18" s="396">
        <v>20500</v>
      </c>
      <c r="T18" s="396">
        <v>21081</v>
      </c>
      <c r="U18" s="396">
        <v>20500</v>
      </c>
      <c r="V18" s="396">
        <v>29590</v>
      </c>
      <c r="W18" s="942">
        <v>20500</v>
      </c>
      <c r="X18" s="940">
        <v>29590</v>
      </c>
      <c r="Y18" s="630" t="s">
        <v>1974</v>
      </c>
    </row>
    <row r="19" spans="1:25" s="7" customFormat="1" ht="21.75" customHeight="1">
      <c r="A19" s="1157">
        <v>14</v>
      </c>
      <c r="B19" s="5" t="s">
        <v>1973</v>
      </c>
      <c r="C19" s="31">
        <v>13790</v>
      </c>
      <c r="D19" s="5">
        <v>8723</v>
      </c>
      <c r="E19" s="5">
        <v>14440</v>
      </c>
      <c r="F19" s="5">
        <v>6046</v>
      </c>
      <c r="G19" s="5">
        <v>14200</v>
      </c>
      <c r="H19" s="5">
        <v>7517</v>
      </c>
      <c r="I19" s="3">
        <v>16455</v>
      </c>
      <c r="J19" s="3">
        <v>9731</v>
      </c>
      <c r="K19" s="3">
        <v>16850</v>
      </c>
      <c r="L19" s="3">
        <v>6865</v>
      </c>
      <c r="M19" s="3">
        <v>19150</v>
      </c>
      <c r="N19" s="3">
        <v>5867</v>
      </c>
      <c r="O19" s="396">
        <v>18475</v>
      </c>
      <c r="P19" s="396">
        <v>7984</v>
      </c>
      <c r="Q19" s="396">
        <v>18075</v>
      </c>
      <c r="R19" s="396">
        <v>7143</v>
      </c>
      <c r="S19" s="396">
        <v>13600</v>
      </c>
      <c r="T19" s="396">
        <v>6496</v>
      </c>
      <c r="U19" s="396">
        <v>13800</v>
      </c>
      <c r="V19" s="396">
        <v>8530</v>
      </c>
      <c r="W19" s="942">
        <v>13800</v>
      </c>
      <c r="X19" s="940">
        <v>8530</v>
      </c>
      <c r="Y19" s="630" t="s">
        <v>1972</v>
      </c>
    </row>
    <row r="20" spans="1:25" s="7" customFormat="1" ht="21.75" customHeight="1">
      <c r="A20" s="1157">
        <v>15</v>
      </c>
      <c r="B20" s="5" t="s">
        <v>1971</v>
      </c>
      <c r="C20" s="31">
        <v>2500</v>
      </c>
      <c r="D20" s="5">
        <v>1750</v>
      </c>
      <c r="E20" s="5">
        <v>4400</v>
      </c>
      <c r="F20" s="5">
        <v>784</v>
      </c>
      <c r="G20" s="5">
        <v>3900</v>
      </c>
      <c r="H20" s="5">
        <v>931</v>
      </c>
      <c r="I20" s="3">
        <v>3900</v>
      </c>
      <c r="J20" s="3">
        <v>1000</v>
      </c>
      <c r="K20" s="3">
        <v>3900</v>
      </c>
      <c r="L20" s="3">
        <v>1718</v>
      </c>
      <c r="M20" s="3">
        <v>3360</v>
      </c>
      <c r="N20" s="3">
        <v>2373</v>
      </c>
      <c r="O20" s="396">
        <v>3360</v>
      </c>
      <c r="P20" s="396">
        <v>1543</v>
      </c>
      <c r="Q20" s="396">
        <v>3360</v>
      </c>
      <c r="R20" s="396">
        <v>886</v>
      </c>
      <c r="S20" s="396">
        <v>3360</v>
      </c>
      <c r="T20" s="396">
        <v>0</v>
      </c>
      <c r="U20" s="396">
        <v>3360</v>
      </c>
      <c r="V20" s="396">
        <v>0</v>
      </c>
      <c r="W20" s="942">
        <v>3360</v>
      </c>
      <c r="X20" s="940">
        <v>0</v>
      </c>
      <c r="Y20" s="630" t="s">
        <v>1970</v>
      </c>
    </row>
    <row r="21" spans="1:25" s="7" customFormat="1" ht="21.75" customHeight="1">
      <c r="A21" s="1157">
        <v>16</v>
      </c>
      <c r="B21" s="5" t="s">
        <v>1969</v>
      </c>
      <c r="C21" s="31">
        <v>500</v>
      </c>
      <c r="D21" s="5">
        <v>116</v>
      </c>
      <c r="E21" s="5">
        <v>500</v>
      </c>
      <c r="F21" s="5">
        <v>131</v>
      </c>
      <c r="G21" s="5">
        <v>500</v>
      </c>
      <c r="H21" s="5">
        <v>203</v>
      </c>
      <c r="I21" s="3">
        <v>250</v>
      </c>
      <c r="J21" s="3">
        <v>0</v>
      </c>
      <c r="K21" s="3">
        <v>250</v>
      </c>
      <c r="L21" s="3">
        <v>79</v>
      </c>
      <c r="M21" s="3">
        <v>250</v>
      </c>
      <c r="N21" s="3">
        <v>84</v>
      </c>
      <c r="O21" s="396">
        <v>250</v>
      </c>
      <c r="P21" s="396">
        <v>100</v>
      </c>
      <c r="Q21" s="396">
        <v>250</v>
      </c>
      <c r="R21" s="396">
        <v>77</v>
      </c>
      <c r="S21" s="396">
        <v>250</v>
      </c>
      <c r="T21" s="396">
        <v>148</v>
      </c>
      <c r="U21" s="396">
        <v>250</v>
      </c>
      <c r="V21" s="396">
        <v>150</v>
      </c>
      <c r="W21" s="942">
        <v>250</v>
      </c>
      <c r="X21" s="940">
        <v>150</v>
      </c>
      <c r="Y21" s="630" t="s">
        <v>1968</v>
      </c>
    </row>
    <row r="22" spans="1:25" s="7" customFormat="1" ht="21.75" customHeight="1">
      <c r="A22" s="1157">
        <v>17</v>
      </c>
      <c r="B22" s="5" t="s">
        <v>1967</v>
      </c>
      <c r="C22" s="31">
        <v>390</v>
      </c>
      <c r="D22" s="5">
        <v>678</v>
      </c>
      <c r="E22" s="5">
        <v>540</v>
      </c>
      <c r="F22" s="5">
        <v>465</v>
      </c>
      <c r="G22" s="5">
        <v>575</v>
      </c>
      <c r="H22" s="5">
        <v>516</v>
      </c>
      <c r="I22" s="3">
        <v>625</v>
      </c>
      <c r="J22" s="3">
        <v>511</v>
      </c>
      <c r="K22" s="3">
        <v>614</v>
      </c>
      <c r="L22" s="3">
        <v>382</v>
      </c>
      <c r="M22" s="3">
        <v>614</v>
      </c>
      <c r="N22" s="3">
        <v>372</v>
      </c>
      <c r="O22" s="396">
        <v>618</v>
      </c>
      <c r="P22" s="396">
        <v>551</v>
      </c>
      <c r="Q22" s="396">
        <v>731</v>
      </c>
      <c r="R22" s="396">
        <v>682</v>
      </c>
      <c r="S22" s="396">
        <v>790</v>
      </c>
      <c r="T22" s="396">
        <v>685</v>
      </c>
      <c r="U22" s="396">
        <v>790</v>
      </c>
      <c r="V22" s="396">
        <v>590</v>
      </c>
      <c r="W22" s="942">
        <v>790</v>
      </c>
      <c r="X22" s="940">
        <v>590</v>
      </c>
      <c r="Y22" s="630" t="s">
        <v>1966</v>
      </c>
    </row>
    <row r="23" spans="1:25" s="7" customFormat="1" ht="21.75" customHeight="1">
      <c r="A23" s="1157">
        <v>18</v>
      </c>
      <c r="B23" s="5" t="s">
        <v>1965</v>
      </c>
      <c r="C23" s="31">
        <v>460</v>
      </c>
      <c r="D23" s="5">
        <v>554</v>
      </c>
      <c r="E23" s="5">
        <v>325</v>
      </c>
      <c r="F23" s="5">
        <v>569</v>
      </c>
      <c r="G23" s="5">
        <v>325</v>
      </c>
      <c r="H23" s="5">
        <v>544</v>
      </c>
      <c r="I23" s="3">
        <v>510</v>
      </c>
      <c r="J23" s="3">
        <v>746</v>
      </c>
      <c r="K23" s="3">
        <v>504</v>
      </c>
      <c r="L23" s="3">
        <v>231</v>
      </c>
      <c r="M23" s="3">
        <v>504</v>
      </c>
      <c r="N23" s="3">
        <v>101</v>
      </c>
      <c r="O23" s="396">
        <v>504</v>
      </c>
      <c r="P23" s="396">
        <v>320</v>
      </c>
      <c r="Q23" s="396">
        <v>491</v>
      </c>
      <c r="R23" s="396">
        <v>344</v>
      </c>
      <c r="S23" s="396">
        <v>480</v>
      </c>
      <c r="T23" s="396">
        <v>438</v>
      </c>
      <c r="U23" s="396">
        <v>500</v>
      </c>
      <c r="V23" s="396">
        <v>540</v>
      </c>
      <c r="W23" s="942">
        <v>500</v>
      </c>
      <c r="X23" s="940">
        <v>540</v>
      </c>
      <c r="Y23" s="630" t="s">
        <v>1964</v>
      </c>
    </row>
    <row r="24" spans="1:25" s="7" customFormat="1" ht="21.75" customHeight="1">
      <c r="A24" s="1157">
        <v>19</v>
      </c>
      <c r="B24" s="5" t="s">
        <v>1963</v>
      </c>
      <c r="C24" s="31">
        <v>8250</v>
      </c>
      <c r="D24" s="5">
        <v>4601</v>
      </c>
      <c r="E24" s="5">
        <v>12850</v>
      </c>
      <c r="F24" s="5">
        <v>6413</v>
      </c>
      <c r="G24" s="5">
        <v>12850</v>
      </c>
      <c r="H24" s="5">
        <v>5010</v>
      </c>
      <c r="I24" s="3">
        <v>14900</v>
      </c>
      <c r="J24" s="3">
        <v>7577</v>
      </c>
      <c r="K24" s="3">
        <v>12900</v>
      </c>
      <c r="L24" s="3">
        <v>6853</v>
      </c>
      <c r="M24" s="3">
        <v>10500</v>
      </c>
      <c r="N24" s="3">
        <v>10504</v>
      </c>
      <c r="O24" s="396">
        <v>10500</v>
      </c>
      <c r="P24" s="396">
        <v>9945</v>
      </c>
      <c r="Q24" s="396">
        <v>10500</v>
      </c>
      <c r="R24" s="396">
        <v>12452</v>
      </c>
      <c r="S24" s="396">
        <v>10500</v>
      </c>
      <c r="T24" s="396">
        <v>12361</v>
      </c>
      <c r="U24" s="396">
        <v>10500</v>
      </c>
      <c r="V24" s="396">
        <v>16079.999999999998</v>
      </c>
      <c r="W24" s="942">
        <v>10500</v>
      </c>
      <c r="X24" s="940">
        <v>16080</v>
      </c>
      <c r="Y24" s="630" t="s">
        <v>1962</v>
      </c>
    </row>
    <row r="25" spans="1:25" s="7" customFormat="1" ht="21.75" customHeight="1">
      <c r="A25" s="1157">
        <v>20</v>
      </c>
      <c r="B25" s="5" t="s">
        <v>1961</v>
      </c>
      <c r="C25" s="31">
        <v>1400</v>
      </c>
      <c r="D25" s="5">
        <v>1179</v>
      </c>
      <c r="E25" s="5">
        <v>2840</v>
      </c>
      <c r="F25" s="5">
        <v>1650</v>
      </c>
      <c r="G25" s="5">
        <v>2840</v>
      </c>
      <c r="H25" s="5">
        <v>1928</v>
      </c>
      <c r="I25" s="3">
        <v>2560</v>
      </c>
      <c r="J25" s="3">
        <v>1876</v>
      </c>
      <c r="K25" s="3">
        <v>2580</v>
      </c>
      <c r="L25" s="3">
        <v>1941</v>
      </c>
      <c r="M25" s="3">
        <v>2580</v>
      </c>
      <c r="N25" s="3">
        <v>2581</v>
      </c>
      <c r="O25" s="396">
        <v>2580</v>
      </c>
      <c r="P25" s="396">
        <v>3597</v>
      </c>
      <c r="Q25" s="396">
        <v>4240</v>
      </c>
      <c r="R25" s="396">
        <v>3626</v>
      </c>
      <c r="S25" s="396">
        <v>4240</v>
      </c>
      <c r="T25" s="396">
        <v>3066</v>
      </c>
      <c r="U25" s="396">
        <v>4240</v>
      </c>
      <c r="V25" s="396">
        <v>3590</v>
      </c>
      <c r="W25" s="942">
        <v>4240</v>
      </c>
      <c r="X25" s="940">
        <v>3590</v>
      </c>
      <c r="Y25" s="630" t="s">
        <v>1960</v>
      </c>
    </row>
    <row r="26" spans="1:25" s="7" customFormat="1" ht="21.75" customHeight="1" thickBot="1">
      <c r="A26" s="191">
        <v>21</v>
      </c>
      <c r="B26" s="158" t="s">
        <v>1959</v>
      </c>
      <c r="C26" s="1663">
        <v>1800</v>
      </c>
      <c r="D26" s="158">
        <v>211</v>
      </c>
      <c r="E26" s="158">
        <v>1800</v>
      </c>
      <c r="F26" s="158">
        <v>287</v>
      </c>
      <c r="G26" s="158">
        <v>1800</v>
      </c>
      <c r="H26" s="158">
        <v>426</v>
      </c>
      <c r="I26" s="192">
        <v>2400</v>
      </c>
      <c r="J26" s="192">
        <v>473</v>
      </c>
      <c r="K26" s="192">
        <v>2400</v>
      </c>
      <c r="L26" s="192">
        <v>418</v>
      </c>
      <c r="M26" s="192">
        <v>2400</v>
      </c>
      <c r="N26" s="192">
        <v>740</v>
      </c>
      <c r="O26" s="1664">
        <v>2600</v>
      </c>
      <c r="P26" s="1664">
        <v>1142</v>
      </c>
      <c r="Q26" s="1664">
        <v>2600</v>
      </c>
      <c r="R26" s="1664">
        <v>622</v>
      </c>
      <c r="S26" s="1664">
        <v>2850</v>
      </c>
      <c r="T26" s="1664">
        <v>2297</v>
      </c>
      <c r="U26" s="1664">
        <v>3200</v>
      </c>
      <c r="V26" s="1664">
        <v>1680</v>
      </c>
      <c r="W26" s="1665">
        <v>3200</v>
      </c>
      <c r="X26" s="1666">
        <v>1680</v>
      </c>
      <c r="Y26" s="1444" t="s">
        <v>1958</v>
      </c>
    </row>
    <row r="27" spans="1:25" s="7" customFormat="1" ht="21.75" customHeight="1" thickTop="1">
      <c r="A27" s="1158">
        <v>22</v>
      </c>
      <c r="B27" s="153" t="s">
        <v>1957</v>
      </c>
      <c r="C27" s="1619">
        <v>900</v>
      </c>
      <c r="D27" s="153">
        <v>588</v>
      </c>
      <c r="E27" s="153">
        <v>900</v>
      </c>
      <c r="F27" s="153">
        <v>591</v>
      </c>
      <c r="G27" s="153">
        <v>900</v>
      </c>
      <c r="H27" s="153">
        <v>962</v>
      </c>
      <c r="I27" s="190">
        <v>900</v>
      </c>
      <c r="J27" s="190">
        <v>1400</v>
      </c>
      <c r="K27" s="190">
        <v>900</v>
      </c>
      <c r="L27" s="190">
        <v>1113</v>
      </c>
      <c r="M27" s="190">
        <v>900</v>
      </c>
      <c r="N27" s="190">
        <v>1137</v>
      </c>
      <c r="O27" s="1660">
        <v>900</v>
      </c>
      <c r="P27" s="1660">
        <v>1323</v>
      </c>
      <c r="Q27" s="1660">
        <v>900</v>
      </c>
      <c r="R27" s="1660">
        <v>1534</v>
      </c>
      <c r="S27" s="1660">
        <v>900</v>
      </c>
      <c r="T27" s="1660">
        <v>1408</v>
      </c>
      <c r="U27" s="1660">
        <v>900</v>
      </c>
      <c r="V27" s="1660">
        <v>1350</v>
      </c>
      <c r="W27" s="1661">
        <v>900</v>
      </c>
      <c r="X27" s="1662">
        <v>1350</v>
      </c>
      <c r="Y27" s="1445" t="s">
        <v>1956</v>
      </c>
    </row>
    <row r="28" spans="1:25" s="7" customFormat="1" ht="21.75" customHeight="1">
      <c r="A28" s="1157">
        <v>23</v>
      </c>
      <c r="B28" s="5" t="s">
        <v>1955</v>
      </c>
      <c r="C28" s="31">
        <v>1200</v>
      </c>
      <c r="D28" s="5">
        <v>648</v>
      </c>
      <c r="E28" s="5">
        <v>2400</v>
      </c>
      <c r="F28" s="5">
        <v>1408</v>
      </c>
      <c r="G28" s="5">
        <v>2040</v>
      </c>
      <c r="H28" s="5">
        <v>1042</v>
      </c>
      <c r="I28" s="3">
        <v>1800</v>
      </c>
      <c r="J28" s="3">
        <v>1696</v>
      </c>
      <c r="K28" s="3">
        <v>1970</v>
      </c>
      <c r="L28" s="3">
        <v>1301</v>
      </c>
      <c r="M28" s="3">
        <v>1970</v>
      </c>
      <c r="N28" s="3">
        <v>1104</v>
      </c>
      <c r="O28" s="396">
        <v>1674</v>
      </c>
      <c r="P28" s="396">
        <v>1525</v>
      </c>
      <c r="Q28" s="396">
        <v>1674</v>
      </c>
      <c r="R28" s="396">
        <v>1860</v>
      </c>
      <c r="S28" s="396">
        <v>1800</v>
      </c>
      <c r="T28" s="396">
        <v>1222</v>
      </c>
      <c r="U28" s="396">
        <v>1800</v>
      </c>
      <c r="V28" s="396">
        <v>1660</v>
      </c>
      <c r="W28" s="941">
        <v>1800</v>
      </c>
      <c r="X28" s="940">
        <v>1660</v>
      </c>
      <c r="Y28" s="630" t="s">
        <v>1954</v>
      </c>
    </row>
    <row r="29" spans="1:25" s="7" customFormat="1" ht="21.75" customHeight="1">
      <c r="A29" s="1157">
        <v>24</v>
      </c>
      <c r="B29" s="5" t="s">
        <v>1953</v>
      </c>
      <c r="C29" s="31">
        <v>200</v>
      </c>
      <c r="D29" s="5">
        <v>128</v>
      </c>
      <c r="E29" s="5">
        <v>1025</v>
      </c>
      <c r="F29" s="5">
        <v>392</v>
      </c>
      <c r="G29" s="5">
        <v>825</v>
      </c>
      <c r="H29" s="5">
        <v>227</v>
      </c>
      <c r="I29" s="3">
        <v>975</v>
      </c>
      <c r="J29" s="3">
        <v>560</v>
      </c>
      <c r="K29" s="3">
        <v>1125</v>
      </c>
      <c r="L29" s="3">
        <v>200</v>
      </c>
      <c r="M29" s="3">
        <v>1125</v>
      </c>
      <c r="N29" s="3">
        <v>175</v>
      </c>
      <c r="O29" s="396">
        <v>1125</v>
      </c>
      <c r="P29" s="396">
        <v>344</v>
      </c>
      <c r="Q29" s="396">
        <v>200</v>
      </c>
      <c r="R29" s="396">
        <v>100</v>
      </c>
      <c r="S29" s="396">
        <v>150</v>
      </c>
      <c r="T29" s="396">
        <v>20</v>
      </c>
      <c r="U29" s="396">
        <v>150</v>
      </c>
      <c r="V29" s="396">
        <v>30</v>
      </c>
      <c r="W29" s="941">
        <v>150</v>
      </c>
      <c r="X29" s="940">
        <v>30</v>
      </c>
      <c r="Y29" s="630" t="s">
        <v>1952</v>
      </c>
    </row>
    <row r="30" spans="1:25" ht="21.75" customHeight="1">
      <c r="A30" s="1157">
        <v>25</v>
      </c>
      <c r="B30" s="939" t="s">
        <v>1951</v>
      </c>
      <c r="C30" s="944"/>
      <c r="D30" s="792"/>
      <c r="E30" s="792"/>
      <c r="F30" s="792"/>
      <c r="G30" s="792"/>
      <c r="H30" s="792"/>
      <c r="I30" s="792"/>
      <c r="J30" s="792"/>
      <c r="K30" s="792"/>
      <c r="L30" s="792"/>
      <c r="M30" s="792"/>
      <c r="N30" s="792"/>
      <c r="O30" s="792">
        <v>0</v>
      </c>
      <c r="P30" s="792">
        <v>0</v>
      </c>
      <c r="Q30" s="792">
        <v>0</v>
      </c>
      <c r="R30" s="792">
        <v>0</v>
      </c>
      <c r="S30" s="792">
        <v>0</v>
      </c>
      <c r="T30" s="792">
        <v>0</v>
      </c>
      <c r="U30" s="792">
        <v>0</v>
      </c>
      <c r="V30" s="792">
        <v>0</v>
      </c>
      <c r="W30" s="941">
        <v>6600</v>
      </c>
      <c r="X30" s="940"/>
      <c r="Y30" s="1392" t="s">
        <v>1894</v>
      </c>
    </row>
    <row r="31" spans="1:25" ht="21.75" customHeight="1">
      <c r="A31" s="1157">
        <v>26</v>
      </c>
      <c r="B31" s="939" t="s">
        <v>1950</v>
      </c>
      <c r="C31" s="792"/>
      <c r="D31" s="792"/>
      <c r="E31" s="792"/>
      <c r="F31" s="792"/>
      <c r="G31" s="792"/>
      <c r="H31" s="792"/>
      <c r="I31" s="792"/>
      <c r="J31" s="792"/>
      <c r="K31" s="792"/>
      <c r="L31" s="792"/>
      <c r="M31" s="792"/>
      <c r="N31" s="792"/>
      <c r="O31" s="792">
        <v>0</v>
      </c>
      <c r="P31" s="792">
        <v>0</v>
      </c>
      <c r="Q31" s="792">
        <v>0</v>
      </c>
      <c r="R31" s="792">
        <v>0</v>
      </c>
      <c r="S31" s="792">
        <v>0</v>
      </c>
      <c r="T31" s="792">
        <v>0</v>
      </c>
      <c r="U31" s="792">
        <v>0</v>
      </c>
      <c r="V31" s="792">
        <v>0</v>
      </c>
      <c r="W31" s="941">
        <v>1460</v>
      </c>
      <c r="X31" s="940">
        <v>1460</v>
      </c>
      <c r="Y31" s="1392" t="s">
        <v>1916</v>
      </c>
    </row>
    <row r="32" spans="1:25" ht="21.75" customHeight="1">
      <c r="A32" s="1157">
        <v>27</v>
      </c>
      <c r="B32" s="939" t="s">
        <v>1949</v>
      </c>
      <c r="C32" s="792"/>
      <c r="D32" s="792"/>
      <c r="E32" s="792"/>
      <c r="F32" s="792"/>
      <c r="G32" s="792"/>
      <c r="H32" s="792"/>
      <c r="I32" s="792"/>
      <c r="J32" s="792"/>
      <c r="K32" s="792"/>
      <c r="L32" s="792"/>
      <c r="M32" s="792"/>
      <c r="N32" s="792"/>
      <c r="O32" s="792">
        <v>0</v>
      </c>
      <c r="P32" s="792">
        <v>0</v>
      </c>
      <c r="Q32" s="792">
        <v>0</v>
      </c>
      <c r="R32" s="792">
        <v>0</v>
      </c>
      <c r="S32" s="792">
        <v>0</v>
      </c>
      <c r="T32" s="792">
        <v>0</v>
      </c>
      <c r="U32" s="792">
        <v>0</v>
      </c>
      <c r="V32" s="792">
        <v>0</v>
      </c>
      <c r="W32" s="941">
        <v>697</v>
      </c>
      <c r="X32" s="940">
        <v>880</v>
      </c>
      <c r="Y32" s="1392" t="s">
        <v>1914</v>
      </c>
    </row>
    <row r="33" spans="1:25" ht="21.75" customHeight="1">
      <c r="A33" s="1157">
        <v>28</v>
      </c>
      <c r="B33" s="939" t="s">
        <v>1948</v>
      </c>
      <c r="C33" s="792"/>
      <c r="D33" s="792"/>
      <c r="E33" s="792"/>
      <c r="F33" s="792"/>
      <c r="G33" s="792"/>
      <c r="H33" s="792"/>
      <c r="I33" s="792"/>
      <c r="J33" s="792"/>
      <c r="K33" s="792"/>
      <c r="L33" s="792"/>
      <c r="M33" s="792"/>
      <c r="N33" s="792"/>
      <c r="O33" s="792">
        <v>0</v>
      </c>
      <c r="P33" s="792">
        <v>0</v>
      </c>
      <c r="Q33" s="792">
        <v>0</v>
      </c>
      <c r="R33" s="792">
        <v>0</v>
      </c>
      <c r="S33" s="792">
        <v>0</v>
      </c>
      <c r="T33" s="792">
        <v>0</v>
      </c>
      <c r="U33" s="792">
        <v>0</v>
      </c>
      <c r="V33" s="792">
        <v>0</v>
      </c>
      <c r="W33" s="941">
        <v>780</v>
      </c>
      <c r="X33" s="940">
        <v>0</v>
      </c>
      <c r="Y33" s="1392" t="s">
        <v>1912</v>
      </c>
    </row>
    <row r="34" spans="1:25" ht="21.75" customHeight="1">
      <c r="A34" s="1157">
        <v>29</v>
      </c>
      <c r="B34" s="939" t="s">
        <v>1947</v>
      </c>
      <c r="C34" s="792"/>
      <c r="D34" s="792"/>
      <c r="E34" s="792"/>
      <c r="F34" s="792"/>
      <c r="G34" s="792"/>
      <c r="H34" s="792"/>
      <c r="I34" s="792"/>
      <c r="J34" s="792"/>
      <c r="K34" s="792"/>
      <c r="L34" s="792"/>
      <c r="M34" s="792"/>
      <c r="N34" s="792"/>
      <c r="O34" s="792">
        <v>0</v>
      </c>
      <c r="P34" s="792">
        <v>0</v>
      </c>
      <c r="Q34" s="792">
        <v>0</v>
      </c>
      <c r="R34" s="792">
        <v>0</v>
      </c>
      <c r="S34" s="792">
        <v>0</v>
      </c>
      <c r="T34" s="792">
        <v>0</v>
      </c>
      <c r="U34" s="792">
        <v>0</v>
      </c>
      <c r="V34" s="792">
        <v>0</v>
      </c>
      <c r="W34" s="941">
        <v>121796</v>
      </c>
      <c r="X34" s="940">
        <v>97430</v>
      </c>
      <c r="Y34" s="1392" t="s">
        <v>1910</v>
      </c>
    </row>
    <row r="35" spans="1:25" ht="21.75" customHeight="1">
      <c r="A35" s="1157">
        <v>30</v>
      </c>
      <c r="B35" s="939" t="s">
        <v>1946</v>
      </c>
      <c r="C35" s="792"/>
      <c r="D35" s="792"/>
      <c r="E35" s="792"/>
      <c r="F35" s="792"/>
      <c r="G35" s="792"/>
      <c r="H35" s="792"/>
      <c r="I35" s="792"/>
      <c r="J35" s="792"/>
      <c r="K35" s="792"/>
      <c r="L35" s="792"/>
      <c r="M35" s="792"/>
      <c r="N35" s="792"/>
      <c r="O35" s="792">
        <v>0</v>
      </c>
      <c r="P35" s="792">
        <v>0</v>
      </c>
      <c r="Q35" s="792">
        <v>0</v>
      </c>
      <c r="R35" s="792">
        <v>0</v>
      </c>
      <c r="S35" s="792">
        <v>0</v>
      </c>
      <c r="T35" s="792">
        <v>0</v>
      </c>
      <c r="U35" s="792">
        <v>0</v>
      </c>
      <c r="V35" s="792">
        <v>0</v>
      </c>
      <c r="W35" s="943">
        <v>2820</v>
      </c>
      <c r="X35" s="940">
        <v>810</v>
      </c>
      <c r="Y35" s="1392" t="s">
        <v>1908</v>
      </c>
    </row>
    <row r="36" spans="1:25" ht="21.75" customHeight="1">
      <c r="A36" s="1157">
        <v>31</v>
      </c>
      <c r="B36" s="939" t="s">
        <v>1945</v>
      </c>
      <c r="C36" s="792"/>
      <c r="D36" s="792"/>
      <c r="E36" s="792"/>
      <c r="F36" s="792"/>
      <c r="G36" s="792"/>
      <c r="H36" s="792"/>
      <c r="I36" s="792"/>
      <c r="J36" s="792"/>
      <c r="K36" s="792"/>
      <c r="L36" s="792"/>
      <c r="M36" s="792"/>
      <c r="N36" s="792"/>
      <c r="O36" s="792">
        <v>0</v>
      </c>
      <c r="P36" s="792">
        <v>0</v>
      </c>
      <c r="Q36" s="792">
        <v>0</v>
      </c>
      <c r="R36" s="792">
        <v>0</v>
      </c>
      <c r="S36" s="792">
        <v>0</v>
      </c>
      <c r="T36" s="792">
        <v>0</v>
      </c>
      <c r="U36" s="792">
        <v>0</v>
      </c>
      <c r="V36" s="792">
        <v>0</v>
      </c>
      <c r="W36" s="941">
        <v>500</v>
      </c>
      <c r="X36" s="940">
        <v>0</v>
      </c>
      <c r="Y36" s="1392" t="s">
        <v>1900</v>
      </c>
    </row>
    <row r="37" spans="1:25" ht="21.75" customHeight="1">
      <c r="A37" s="1157">
        <v>34</v>
      </c>
      <c r="B37" s="939" t="s">
        <v>1944</v>
      </c>
      <c r="C37" s="792"/>
      <c r="D37" s="792"/>
      <c r="E37" s="792"/>
      <c r="F37" s="792"/>
      <c r="G37" s="792"/>
      <c r="H37" s="792"/>
      <c r="I37" s="792"/>
      <c r="J37" s="792"/>
      <c r="K37" s="792"/>
      <c r="L37" s="792"/>
      <c r="M37" s="792"/>
      <c r="N37" s="792"/>
      <c r="O37" s="792">
        <v>0</v>
      </c>
      <c r="P37" s="792">
        <v>0</v>
      </c>
      <c r="Q37" s="792">
        <v>0</v>
      </c>
      <c r="R37" s="792">
        <v>0</v>
      </c>
      <c r="S37" s="792">
        <v>0</v>
      </c>
      <c r="T37" s="792">
        <v>0</v>
      </c>
      <c r="U37" s="792">
        <v>0</v>
      </c>
      <c r="V37" s="792">
        <v>0</v>
      </c>
      <c r="W37" s="942">
        <v>1650</v>
      </c>
      <c r="X37" s="940">
        <v>430</v>
      </c>
      <c r="Y37" s="1392" t="s">
        <v>1898</v>
      </c>
    </row>
    <row r="38" spans="1:25" ht="21.75" customHeight="1">
      <c r="A38" s="1157">
        <v>35</v>
      </c>
      <c r="B38" s="939" t="s">
        <v>1943</v>
      </c>
      <c r="C38" s="792"/>
      <c r="D38" s="792"/>
      <c r="E38" s="792"/>
      <c r="F38" s="792"/>
      <c r="G38" s="792"/>
      <c r="H38" s="792"/>
      <c r="I38" s="792"/>
      <c r="J38" s="792"/>
      <c r="K38" s="792"/>
      <c r="L38" s="792"/>
      <c r="M38" s="792"/>
      <c r="N38" s="792"/>
      <c r="O38" s="792">
        <v>0</v>
      </c>
      <c r="P38" s="792">
        <v>0</v>
      </c>
      <c r="Q38" s="792">
        <v>0</v>
      </c>
      <c r="R38" s="792">
        <v>0</v>
      </c>
      <c r="S38" s="792">
        <v>0</v>
      </c>
      <c r="T38" s="792">
        <v>0</v>
      </c>
      <c r="U38" s="792">
        <v>0</v>
      </c>
      <c r="V38" s="792">
        <v>0</v>
      </c>
      <c r="W38" s="941">
        <v>2520</v>
      </c>
      <c r="X38" s="940">
        <v>3190</v>
      </c>
      <c r="Y38" s="1392" t="s">
        <v>1906</v>
      </c>
    </row>
    <row r="39" spans="1:25" ht="21.75" customHeight="1">
      <c r="A39" s="1157">
        <v>36</v>
      </c>
      <c r="B39" s="939" t="s">
        <v>1942</v>
      </c>
      <c r="C39" s="792"/>
      <c r="D39" s="792"/>
      <c r="E39" s="792"/>
      <c r="F39" s="792"/>
      <c r="G39" s="792"/>
      <c r="H39" s="792"/>
      <c r="I39" s="792"/>
      <c r="J39" s="792"/>
      <c r="K39" s="792"/>
      <c r="L39" s="792"/>
      <c r="M39" s="792"/>
      <c r="N39" s="792"/>
      <c r="O39" s="792">
        <v>0</v>
      </c>
      <c r="P39" s="792">
        <v>0</v>
      </c>
      <c r="Q39" s="792">
        <v>0</v>
      </c>
      <c r="R39" s="792">
        <v>0</v>
      </c>
      <c r="S39" s="792">
        <v>0</v>
      </c>
      <c r="T39" s="792">
        <v>0</v>
      </c>
      <c r="U39" s="792">
        <v>0</v>
      </c>
      <c r="V39" s="792">
        <v>0</v>
      </c>
      <c r="W39" s="942">
        <v>600</v>
      </c>
      <c r="X39" s="940">
        <v>3420</v>
      </c>
      <c r="Y39" s="1392" t="s">
        <v>1882</v>
      </c>
    </row>
    <row r="40" spans="1:25" ht="21.75" customHeight="1">
      <c r="A40" s="1157">
        <v>43</v>
      </c>
      <c r="B40" s="939" t="s">
        <v>1941</v>
      </c>
      <c r="C40" s="792"/>
      <c r="D40" s="792"/>
      <c r="E40" s="792"/>
      <c r="F40" s="792"/>
      <c r="G40" s="792"/>
      <c r="H40" s="792"/>
      <c r="I40" s="792"/>
      <c r="J40" s="792"/>
      <c r="K40" s="792"/>
      <c r="L40" s="792"/>
      <c r="M40" s="792"/>
      <c r="N40" s="792"/>
      <c r="O40" s="792">
        <v>0</v>
      </c>
      <c r="P40" s="792">
        <v>0</v>
      </c>
      <c r="Q40" s="792">
        <v>0</v>
      </c>
      <c r="R40" s="792">
        <v>0</v>
      </c>
      <c r="S40" s="792">
        <v>0</v>
      </c>
      <c r="T40" s="792">
        <v>0</v>
      </c>
      <c r="U40" s="792">
        <v>0</v>
      </c>
      <c r="V40" s="792">
        <v>0</v>
      </c>
      <c r="W40" s="941">
        <v>4740</v>
      </c>
      <c r="X40" s="940">
        <v>4610</v>
      </c>
      <c r="Y40" s="1392" t="s">
        <v>1874</v>
      </c>
    </row>
    <row r="41" spans="1:25" ht="21.75" customHeight="1">
      <c r="A41" s="1157">
        <v>44</v>
      </c>
      <c r="B41" s="939" t="s">
        <v>1940</v>
      </c>
      <c r="C41" s="792"/>
      <c r="D41" s="792"/>
      <c r="E41" s="792"/>
      <c r="F41" s="792"/>
      <c r="G41" s="792"/>
      <c r="H41" s="792"/>
      <c r="I41" s="792"/>
      <c r="J41" s="792"/>
      <c r="K41" s="792"/>
      <c r="L41" s="792"/>
      <c r="M41" s="792"/>
      <c r="N41" s="792"/>
      <c r="O41" s="792">
        <v>0</v>
      </c>
      <c r="P41" s="792">
        <v>0</v>
      </c>
      <c r="Q41" s="792">
        <v>0</v>
      </c>
      <c r="R41" s="792">
        <v>0</v>
      </c>
      <c r="S41" s="792">
        <v>0</v>
      </c>
      <c r="T41" s="792">
        <v>0</v>
      </c>
      <c r="U41" s="792">
        <v>0</v>
      </c>
      <c r="V41" s="792">
        <v>0</v>
      </c>
      <c r="W41" s="941">
        <v>150</v>
      </c>
      <c r="X41" s="940">
        <v>0</v>
      </c>
      <c r="Y41" s="1392" t="s">
        <v>1870</v>
      </c>
    </row>
    <row r="42" spans="1:25" ht="21.75" customHeight="1">
      <c r="A42" s="1157">
        <v>45</v>
      </c>
      <c r="B42" s="939" t="s">
        <v>143</v>
      </c>
      <c r="C42" s="792"/>
      <c r="D42" s="792"/>
      <c r="E42" s="792"/>
      <c r="F42" s="792"/>
      <c r="G42" s="792"/>
      <c r="H42" s="792"/>
      <c r="I42" s="792"/>
      <c r="J42" s="792"/>
      <c r="K42" s="792"/>
      <c r="L42" s="792"/>
      <c r="M42" s="792"/>
      <c r="N42" s="792"/>
      <c r="O42" s="938">
        <f t="shared" ref="O42:V42" si="0">SUM(O6:O41)</f>
        <v>168136</v>
      </c>
      <c r="P42" s="938">
        <f t="shared" si="0"/>
        <v>85776</v>
      </c>
      <c r="Q42" s="938">
        <f t="shared" si="0"/>
        <v>163876</v>
      </c>
      <c r="R42" s="938">
        <f t="shared" si="0"/>
        <v>90192</v>
      </c>
      <c r="S42" s="938">
        <f t="shared" si="0"/>
        <v>166760</v>
      </c>
      <c r="T42" s="938">
        <f t="shared" si="0"/>
        <v>75899</v>
      </c>
      <c r="U42" s="938">
        <f t="shared" si="0"/>
        <v>168530</v>
      </c>
      <c r="V42" s="938">
        <f t="shared" si="0"/>
        <v>94570</v>
      </c>
      <c r="W42" s="1764">
        <f>SUM(W11:W41)</f>
        <v>264233</v>
      </c>
      <c r="X42" s="1765">
        <f>SUM(X11:X41)</f>
        <v>198940</v>
      </c>
      <c r="Y42" s="1766" t="s">
        <v>0</v>
      </c>
    </row>
    <row r="43" spans="1:25">
      <c r="A43" s="1393" t="s">
        <v>1939</v>
      </c>
      <c r="Y43" s="208"/>
    </row>
    <row r="44" spans="1:25" ht="34.5" customHeight="1">
      <c r="A44" s="2268" t="s">
        <v>1938</v>
      </c>
      <c r="B44" s="2269"/>
      <c r="C44" s="2269"/>
      <c r="D44" s="2269"/>
      <c r="E44" s="2269"/>
      <c r="F44" s="2269"/>
      <c r="G44" s="2269"/>
      <c r="H44" s="2269"/>
      <c r="I44" s="2269"/>
      <c r="J44" s="2269"/>
      <c r="K44" s="2269"/>
      <c r="L44" s="2269"/>
      <c r="M44" s="2269"/>
      <c r="N44" s="2269"/>
      <c r="O44" s="2269"/>
      <c r="P44" s="2269"/>
      <c r="Q44" s="2269"/>
      <c r="R44" s="2269"/>
      <c r="S44" s="2269"/>
      <c r="T44" s="2269"/>
      <c r="U44" s="2269"/>
      <c r="V44" s="2269"/>
      <c r="W44" s="2269"/>
      <c r="X44" s="2269"/>
      <c r="Y44" s="2270"/>
    </row>
    <row r="45" spans="1:25" ht="15.75" thickBot="1">
      <c r="A45" s="1144" t="s">
        <v>1937</v>
      </c>
      <c r="B45" s="206"/>
      <c r="C45" s="206"/>
      <c r="D45" s="206"/>
      <c r="E45" s="206"/>
      <c r="F45" s="206"/>
      <c r="G45" s="206"/>
      <c r="H45" s="206"/>
      <c r="I45" s="206"/>
      <c r="J45" s="206"/>
      <c r="K45" s="206"/>
      <c r="L45" s="206"/>
      <c r="M45" s="206"/>
      <c r="N45" s="206"/>
      <c r="O45" s="206"/>
      <c r="P45" s="206"/>
      <c r="Q45" s="206"/>
      <c r="R45" s="206"/>
      <c r="S45" s="206"/>
      <c r="T45" s="206"/>
      <c r="U45" s="206"/>
      <c r="V45" s="206"/>
      <c r="W45" s="206"/>
      <c r="X45" s="206"/>
      <c r="Y45" s="168"/>
    </row>
    <row r="46" spans="1:25" ht="16.5" thickTop="1" thickBot="1">
      <c r="A46" s="1394"/>
      <c r="B46" s="206"/>
      <c r="C46" s="206"/>
      <c r="D46" s="206"/>
      <c r="E46" s="206"/>
      <c r="F46" s="206"/>
      <c r="G46" s="206"/>
      <c r="H46" s="206"/>
      <c r="I46" s="206"/>
      <c r="J46" s="206"/>
      <c r="K46" s="206"/>
      <c r="L46" s="206"/>
      <c r="M46" s="206"/>
      <c r="N46" s="206"/>
      <c r="O46" s="206"/>
      <c r="P46" s="206"/>
      <c r="Q46" s="206"/>
      <c r="R46" s="206"/>
      <c r="S46" s="206"/>
      <c r="T46" s="206"/>
      <c r="U46" s="206"/>
      <c r="V46" s="206"/>
      <c r="W46" s="206"/>
      <c r="X46" s="206"/>
      <c r="Y46" s="168"/>
    </row>
    <row r="47" spans="1:25" ht="15.75" thickTop="1"/>
  </sheetData>
  <mergeCells count="18">
    <mergeCell ref="A1:Y1"/>
    <mergeCell ref="A2:Y2"/>
    <mergeCell ref="P3:Y3"/>
    <mergeCell ref="A4:A5"/>
    <mergeCell ref="B4:B5"/>
    <mergeCell ref="C4:D4"/>
    <mergeCell ref="E4:F4"/>
    <mergeCell ref="G4:H4"/>
    <mergeCell ref="I4:J4"/>
    <mergeCell ref="K4:L4"/>
    <mergeCell ref="A44:Y44"/>
    <mergeCell ref="M4:N4"/>
    <mergeCell ref="O4:P4"/>
    <mergeCell ref="Q4:R4"/>
    <mergeCell ref="S4:T4"/>
    <mergeCell ref="U4:V4"/>
    <mergeCell ref="W4:X4"/>
    <mergeCell ref="Y4:Y5"/>
  </mergeCells>
  <conditionalFormatting sqref="A6:Y42">
    <cfRule type="expression" dxfId="41" priority="1">
      <formula>MOD(ROW(),3)=1</formula>
    </cfRule>
  </conditionalFormatting>
  <printOptions horizontalCentered="1"/>
  <pageMargins left="0.6692913385826772" right="0.15748031496062992" top="0.55118110236220474" bottom="0.74803149606299213" header="0.31496062992125984" footer="0.31496062992125984"/>
  <pageSetup paperSize="9" scale="80" orientation="landscape" r:id="rId1"/>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9D7F8-7437-4737-A003-D4DF5F2CAFF6}">
  <dimension ref="A1:AB53"/>
  <sheetViews>
    <sheetView view="pageBreakPreview" zoomScale="90" zoomScaleSheetLayoutView="90" workbookViewId="0">
      <selection activeCell="S17" sqref="S17"/>
    </sheetView>
  </sheetViews>
  <sheetFormatPr defaultColWidth="9.140625" defaultRowHeight="15"/>
  <cols>
    <col min="1" max="1" width="11.140625" style="6" customWidth="1"/>
    <col min="2" max="3" width="8.85546875" style="1" customWidth="1"/>
    <col min="4" max="4" width="10" style="1" customWidth="1"/>
    <col min="5" max="7" width="8.85546875" style="1" customWidth="1"/>
    <col min="8" max="8" width="6.140625" style="1" customWidth="1"/>
    <col min="9" max="11" width="8.85546875" style="1" customWidth="1"/>
    <col min="12" max="12" width="7.42578125" style="1" customWidth="1"/>
    <col min="13" max="13" width="8.85546875" style="1" customWidth="1"/>
    <col min="14" max="14" width="17.42578125" style="1" customWidth="1"/>
    <col min="15" max="16384" width="9.140625" style="1"/>
  </cols>
  <sheetData>
    <row r="1" spans="1:28" s="7" customFormat="1" ht="21.75" customHeight="1" thickTop="1">
      <c r="A1" s="2220" t="s">
        <v>2793</v>
      </c>
      <c r="B1" s="1869"/>
      <c r="C1" s="1869"/>
      <c r="D1" s="1869"/>
      <c r="E1" s="1869"/>
      <c r="F1" s="1869"/>
      <c r="G1" s="1869"/>
      <c r="H1" s="1869"/>
      <c r="I1" s="1869"/>
      <c r="J1" s="1869"/>
      <c r="K1" s="1869"/>
      <c r="L1" s="1869"/>
      <c r="M1" s="1869"/>
      <c r="N1" s="1870"/>
    </row>
    <row r="2" spans="1:28" s="7" customFormat="1" ht="21.75" customHeight="1">
      <c r="A2" s="2224" t="s">
        <v>2792</v>
      </c>
      <c r="B2" s="2287"/>
      <c r="C2" s="2287"/>
      <c r="D2" s="2287"/>
      <c r="E2" s="2287"/>
      <c r="F2" s="2287"/>
      <c r="G2" s="2287"/>
      <c r="H2" s="2287"/>
      <c r="I2" s="2287"/>
      <c r="J2" s="2287"/>
      <c r="K2" s="2287"/>
      <c r="L2" s="2287"/>
      <c r="M2" s="2287"/>
      <c r="N2" s="2225"/>
    </row>
    <row r="3" spans="1:28" s="7" customFormat="1" ht="21.75" customHeight="1">
      <c r="A3" s="952"/>
      <c r="M3" s="2250" t="s">
        <v>2022</v>
      </c>
      <c r="N3" s="2251"/>
    </row>
    <row r="4" spans="1:28" s="951" customFormat="1" ht="54.75" customHeight="1">
      <c r="A4" s="1928" t="s">
        <v>2021</v>
      </c>
      <c r="B4" s="1929" t="s">
        <v>2020</v>
      </c>
      <c r="C4" s="1948"/>
      <c r="D4" s="1948"/>
      <c r="E4" s="1948"/>
      <c r="F4" s="1929" t="s">
        <v>2019</v>
      </c>
      <c r="G4" s="1948"/>
      <c r="H4" s="1948"/>
      <c r="I4" s="1948"/>
      <c r="J4" s="1929" t="s">
        <v>896</v>
      </c>
      <c r="K4" s="1948"/>
      <c r="L4" s="1948"/>
      <c r="M4" s="1948"/>
      <c r="N4" s="2343" t="s">
        <v>2018</v>
      </c>
      <c r="AB4" s="812"/>
    </row>
    <row r="5" spans="1:28" s="951" customFormat="1" ht="79.5" customHeight="1">
      <c r="A5" s="1989"/>
      <c r="B5" s="79" t="s">
        <v>2017</v>
      </c>
      <c r="C5" s="79" t="s">
        <v>2016</v>
      </c>
      <c r="D5" s="79" t="s">
        <v>2015</v>
      </c>
      <c r="E5" s="79" t="s">
        <v>2014</v>
      </c>
      <c r="F5" s="79" t="s">
        <v>2017</v>
      </c>
      <c r="G5" s="79" t="s">
        <v>2016</v>
      </c>
      <c r="H5" s="79" t="s">
        <v>2015</v>
      </c>
      <c r="I5" s="79" t="s">
        <v>2014</v>
      </c>
      <c r="J5" s="79" t="s">
        <v>2017</v>
      </c>
      <c r="K5" s="79" t="s">
        <v>2016</v>
      </c>
      <c r="L5" s="79" t="s">
        <v>2015</v>
      </c>
      <c r="M5" s="79" t="s">
        <v>2014</v>
      </c>
      <c r="N5" s="2330"/>
    </row>
    <row r="6" spans="1:28" s="7" customFormat="1" ht="20.100000000000001" customHeight="1">
      <c r="A6" s="176" t="s">
        <v>1278</v>
      </c>
      <c r="B6" s="3">
        <v>40.69</v>
      </c>
      <c r="C6" s="3">
        <v>13.22</v>
      </c>
      <c r="D6" s="3">
        <v>6.73</v>
      </c>
      <c r="E6" s="3">
        <f t="shared" ref="E6:E43" si="0">SUM(B6:D6)</f>
        <v>60.64</v>
      </c>
      <c r="F6" s="3">
        <v>31.44</v>
      </c>
      <c r="G6" s="3">
        <v>9.49</v>
      </c>
      <c r="H6" s="3">
        <v>0</v>
      </c>
      <c r="I6" s="3">
        <f t="shared" ref="I6:I43" si="1">SUM(H6,G6,F6)</f>
        <v>40.93</v>
      </c>
      <c r="J6" s="3">
        <v>10.54</v>
      </c>
      <c r="K6" s="3">
        <v>3.43</v>
      </c>
      <c r="L6" s="3">
        <v>6.44</v>
      </c>
      <c r="M6" s="3">
        <f t="shared" ref="M6:M43" si="2">SUM(L6,K6,J6)</f>
        <v>20.41</v>
      </c>
      <c r="N6" s="776">
        <v>716.62</v>
      </c>
    </row>
    <row r="7" spans="1:28" s="7" customFormat="1" ht="20.100000000000001" customHeight="1">
      <c r="A7" s="176" t="s">
        <v>1277</v>
      </c>
      <c r="B7" s="3">
        <v>42.24</v>
      </c>
      <c r="C7" s="3">
        <v>14.37</v>
      </c>
      <c r="D7" s="3">
        <v>7.27</v>
      </c>
      <c r="E7" s="3">
        <f t="shared" si="0"/>
        <v>63.879999999999995</v>
      </c>
      <c r="F7" s="3">
        <v>34.24</v>
      </c>
      <c r="G7" s="3">
        <v>9.8000000000000007</v>
      </c>
      <c r="H7" s="3">
        <v>0</v>
      </c>
      <c r="I7" s="3">
        <f t="shared" si="1"/>
        <v>44.040000000000006</v>
      </c>
      <c r="J7" s="3">
        <v>4.25</v>
      </c>
      <c r="K7" s="3">
        <v>0.63</v>
      </c>
      <c r="L7" s="3">
        <v>6.44</v>
      </c>
      <c r="M7" s="3">
        <f t="shared" si="2"/>
        <v>11.32</v>
      </c>
      <c r="N7" s="776">
        <v>273.52999999999997</v>
      </c>
    </row>
    <row r="8" spans="1:28" s="7" customFormat="1" ht="20.100000000000001" customHeight="1">
      <c r="A8" s="176" t="s">
        <v>1276</v>
      </c>
      <c r="B8" s="3">
        <v>52.05</v>
      </c>
      <c r="C8" s="3">
        <v>17.3</v>
      </c>
      <c r="D8" s="3">
        <v>7.75</v>
      </c>
      <c r="E8" s="3">
        <f t="shared" si="0"/>
        <v>77.099999999999994</v>
      </c>
      <c r="F8" s="3">
        <v>34.85</v>
      </c>
      <c r="G8" s="3">
        <v>10.48</v>
      </c>
      <c r="H8" s="3">
        <v>0</v>
      </c>
      <c r="I8" s="3">
        <f t="shared" si="1"/>
        <v>45.33</v>
      </c>
      <c r="J8" s="3">
        <v>6.56</v>
      </c>
      <c r="K8" s="3">
        <v>1.43</v>
      </c>
      <c r="L8" s="3">
        <v>5.56</v>
      </c>
      <c r="M8" s="3">
        <f t="shared" si="2"/>
        <v>13.549999999999999</v>
      </c>
      <c r="N8" s="776">
        <v>365.05</v>
      </c>
    </row>
    <row r="9" spans="1:28" s="7" customFormat="1" ht="20.100000000000001" customHeight="1">
      <c r="A9" s="176" t="s">
        <v>1242</v>
      </c>
      <c r="B9" s="3">
        <v>54.87</v>
      </c>
      <c r="C9" s="3">
        <v>18.86</v>
      </c>
      <c r="D9" s="3">
        <v>8.3800000000000008</v>
      </c>
      <c r="E9" s="3">
        <f t="shared" si="0"/>
        <v>82.109999999999985</v>
      </c>
      <c r="F9" s="3">
        <v>39.17</v>
      </c>
      <c r="G9" s="3">
        <v>12.63</v>
      </c>
      <c r="H9" s="3">
        <v>0</v>
      </c>
      <c r="I9" s="3">
        <f t="shared" si="1"/>
        <v>51.800000000000004</v>
      </c>
      <c r="J9" s="3">
        <v>20.079999999999998</v>
      </c>
      <c r="K9" s="3">
        <v>7.45</v>
      </c>
      <c r="L9" s="3">
        <v>8.7100000000000009</v>
      </c>
      <c r="M9" s="3">
        <f t="shared" si="2"/>
        <v>36.239999999999995</v>
      </c>
      <c r="N9" s="776">
        <v>1500</v>
      </c>
    </row>
    <row r="10" spans="1:28" s="7" customFormat="1" ht="20.100000000000001" customHeight="1">
      <c r="A10" s="176" t="s">
        <v>1275</v>
      </c>
      <c r="B10" s="3">
        <v>56.61</v>
      </c>
      <c r="C10" s="3">
        <v>20.05</v>
      </c>
      <c r="D10" s="3">
        <v>8.08</v>
      </c>
      <c r="E10" s="3">
        <f t="shared" si="0"/>
        <v>84.74</v>
      </c>
      <c r="F10" s="3">
        <v>43.28</v>
      </c>
      <c r="G10" s="3">
        <v>14.28</v>
      </c>
      <c r="H10" s="3">
        <v>0</v>
      </c>
      <c r="I10" s="3">
        <f t="shared" si="1"/>
        <v>57.56</v>
      </c>
      <c r="J10" s="3">
        <v>16.8</v>
      </c>
      <c r="K10" s="3">
        <v>8.16</v>
      </c>
      <c r="L10" s="3">
        <v>9.0299999999999994</v>
      </c>
      <c r="M10" s="3">
        <f t="shared" si="2"/>
        <v>33.989999999999995</v>
      </c>
      <c r="N10" s="776">
        <v>1405</v>
      </c>
    </row>
    <row r="11" spans="1:28" s="7" customFormat="1" ht="20.100000000000001" customHeight="1">
      <c r="A11" s="176" t="s">
        <v>1274</v>
      </c>
      <c r="B11" s="3">
        <v>57.16</v>
      </c>
      <c r="C11" s="3">
        <v>20.79</v>
      </c>
      <c r="D11" s="3">
        <v>8.5</v>
      </c>
      <c r="E11" s="3">
        <f t="shared" si="0"/>
        <v>86.449999999999989</v>
      </c>
      <c r="F11" s="3">
        <v>54.1</v>
      </c>
      <c r="G11" s="3">
        <v>16.600000000000001</v>
      </c>
      <c r="H11" s="3">
        <v>0</v>
      </c>
      <c r="I11" s="3">
        <f t="shared" si="1"/>
        <v>70.7</v>
      </c>
      <c r="J11" s="3">
        <v>11.03</v>
      </c>
      <c r="K11" s="3">
        <v>2.5499999999999998</v>
      </c>
      <c r="L11" s="3">
        <v>9.52</v>
      </c>
      <c r="M11" s="3">
        <f t="shared" si="2"/>
        <v>23.1</v>
      </c>
      <c r="N11" s="776">
        <v>651</v>
      </c>
    </row>
    <row r="12" spans="1:28" s="7" customFormat="1" ht="20.100000000000001" customHeight="1">
      <c r="A12" s="176" t="s">
        <v>1273</v>
      </c>
      <c r="B12" s="3">
        <v>57.17</v>
      </c>
      <c r="C12" s="3">
        <v>21.87</v>
      </c>
      <c r="D12" s="3">
        <v>8.8000000000000007</v>
      </c>
      <c r="E12" s="3">
        <f t="shared" si="0"/>
        <v>87.84</v>
      </c>
      <c r="F12" s="3">
        <v>54.66</v>
      </c>
      <c r="G12" s="3">
        <v>16.649999999999999</v>
      </c>
      <c r="H12" s="3">
        <v>0</v>
      </c>
      <c r="I12" s="3">
        <f t="shared" si="1"/>
        <v>71.31</v>
      </c>
      <c r="J12" s="3">
        <v>1.75</v>
      </c>
      <c r="K12" s="3" t="s">
        <v>275</v>
      </c>
      <c r="L12" s="3">
        <v>8.09</v>
      </c>
      <c r="M12" s="3">
        <f t="shared" si="2"/>
        <v>9.84</v>
      </c>
      <c r="N12" s="776">
        <v>223.77</v>
      </c>
    </row>
    <row r="13" spans="1:28" s="7" customFormat="1" ht="20.100000000000001" customHeight="1">
      <c r="A13" s="176" t="s">
        <v>1272</v>
      </c>
      <c r="B13" s="3">
        <v>72.510000000000005</v>
      </c>
      <c r="C13" s="3">
        <v>27.21</v>
      </c>
      <c r="D13" s="3">
        <v>10.68</v>
      </c>
      <c r="E13" s="3">
        <f t="shared" si="0"/>
        <v>110.4</v>
      </c>
      <c r="F13" s="3">
        <v>67.12</v>
      </c>
      <c r="G13" s="3">
        <v>22.52</v>
      </c>
      <c r="H13" s="3">
        <v>0</v>
      </c>
      <c r="I13" s="3">
        <f t="shared" si="1"/>
        <v>89.64</v>
      </c>
      <c r="J13" s="3">
        <v>2.19</v>
      </c>
      <c r="K13" s="3">
        <v>4.07</v>
      </c>
      <c r="L13" s="3">
        <v>9.82</v>
      </c>
      <c r="M13" s="3">
        <f t="shared" si="2"/>
        <v>16.080000000000002</v>
      </c>
      <c r="N13" s="776">
        <v>644.52</v>
      </c>
    </row>
    <row r="14" spans="1:28" s="7" customFormat="1" ht="20.100000000000001" customHeight="1">
      <c r="A14" s="176" t="s">
        <v>1241</v>
      </c>
      <c r="B14" s="3">
        <v>73.86</v>
      </c>
      <c r="C14" s="3">
        <v>30.14</v>
      </c>
      <c r="D14" s="3">
        <v>11.68</v>
      </c>
      <c r="E14" s="3">
        <f t="shared" si="0"/>
        <v>115.68</v>
      </c>
      <c r="F14" s="3">
        <v>67.47</v>
      </c>
      <c r="G14" s="3">
        <v>17.96</v>
      </c>
      <c r="H14" s="3">
        <v>0</v>
      </c>
      <c r="I14" s="3">
        <f t="shared" si="1"/>
        <v>85.43</v>
      </c>
      <c r="J14" s="3">
        <v>5.23</v>
      </c>
      <c r="K14" s="3">
        <v>13.11</v>
      </c>
      <c r="L14" s="3">
        <v>12.8</v>
      </c>
      <c r="M14" s="3">
        <f t="shared" si="2"/>
        <v>31.14</v>
      </c>
      <c r="N14" s="776">
        <v>1538.77</v>
      </c>
    </row>
    <row r="15" spans="1:28" s="7" customFormat="1" ht="20.100000000000001" customHeight="1">
      <c r="A15" s="176" t="s">
        <v>491</v>
      </c>
      <c r="B15" s="3">
        <v>79.97</v>
      </c>
      <c r="C15" s="3">
        <v>32.21</v>
      </c>
      <c r="D15" s="3">
        <v>13.28</v>
      </c>
      <c r="E15" s="3">
        <f t="shared" si="0"/>
        <v>125.46000000000001</v>
      </c>
      <c r="F15" s="3">
        <v>69.930000000000007</v>
      </c>
      <c r="G15" s="3">
        <v>20.52</v>
      </c>
      <c r="H15" s="3">
        <v>0</v>
      </c>
      <c r="I15" s="3">
        <f t="shared" si="1"/>
        <v>90.45</v>
      </c>
      <c r="J15" s="3">
        <v>4.1399999999999997</v>
      </c>
      <c r="K15" s="3">
        <v>10.16</v>
      </c>
      <c r="L15" s="3">
        <v>13.28</v>
      </c>
      <c r="M15" s="3">
        <f t="shared" si="2"/>
        <v>27.58</v>
      </c>
      <c r="N15" s="776">
        <v>1335.82</v>
      </c>
    </row>
    <row r="16" spans="1:28" s="7" customFormat="1" ht="20.100000000000001" customHeight="1">
      <c r="A16" s="176" t="s">
        <v>1240</v>
      </c>
      <c r="B16" s="3">
        <v>80.459999999999994</v>
      </c>
      <c r="C16" s="3">
        <v>33.21</v>
      </c>
      <c r="D16" s="3">
        <v>13.61</v>
      </c>
      <c r="E16" s="3">
        <f t="shared" si="0"/>
        <v>127.27999999999999</v>
      </c>
      <c r="F16" s="3">
        <v>73.010000000000005</v>
      </c>
      <c r="G16" s="3">
        <v>25.62</v>
      </c>
      <c r="H16" s="3">
        <v>0</v>
      </c>
      <c r="I16" s="3">
        <f t="shared" si="1"/>
        <v>98.63000000000001</v>
      </c>
      <c r="J16" s="3">
        <v>5.66</v>
      </c>
      <c r="K16" s="3">
        <v>9.67</v>
      </c>
      <c r="L16" s="3">
        <v>12.36</v>
      </c>
      <c r="M16" s="3">
        <f t="shared" si="2"/>
        <v>27.69</v>
      </c>
      <c r="N16" s="776">
        <v>1934.19</v>
      </c>
    </row>
    <row r="17" spans="1:14" s="7" customFormat="1" ht="20.100000000000001" customHeight="1">
      <c r="A17" s="176" t="s">
        <v>1271</v>
      </c>
      <c r="B17" s="3">
        <v>84.26</v>
      </c>
      <c r="C17" s="3">
        <v>28.43</v>
      </c>
      <c r="D17" s="3">
        <v>8.84</v>
      </c>
      <c r="E17" s="3">
        <f t="shared" si="0"/>
        <v>121.53</v>
      </c>
      <c r="F17" s="3">
        <v>74.3</v>
      </c>
      <c r="G17" s="3">
        <v>23.06</v>
      </c>
      <c r="H17" s="3">
        <v>0</v>
      </c>
      <c r="I17" s="3">
        <f t="shared" si="1"/>
        <v>97.36</v>
      </c>
      <c r="J17" s="3">
        <v>11.37</v>
      </c>
      <c r="K17" s="3">
        <v>6.89</v>
      </c>
      <c r="L17" s="3">
        <v>10.82</v>
      </c>
      <c r="M17" s="3">
        <f t="shared" si="2"/>
        <v>29.08</v>
      </c>
      <c r="N17" s="776">
        <v>2216</v>
      </c>
    </row>
    <row r="18" spans="1:14" s="7" customFormat="1" ht="20.100000000000001" customHeight="1">
      <c r="A18" s="176" t="s">
        <v>1270</v>
      </c>
      <c r="B18" s="3">
        <v>87.88</v>
      </c>
      <c r="C18" s="3">
        <v>26.69</v>
      </c>
      <c r="D18" s="3">
        <v>9.09</v>
      </c>
      <c r="E18" s="3">
        <f t="shared" si="0"/>
        <v>123.66</v>
      </c>
      <c r="F18" s="3">
        <v>72.31</v>
      </c>
      <c r="G18" s="3">
        <v>18.16</v>
      </c>
      <c r="H18" s="3">
        <v>0</v>
      </c>
      <c r="I18" s="3">
        <f t="shared" si="1"/>
        <v>90.47</v>
      </c>
      <c r="J18" s="3">
        <v>15.88</v>
      </c>
      <c r="K18" s="3">
        <v>7.22</v>
      </c>
      <c r="L18" s="3">
        <v>8.57</v>
      </c>
      <c r="M18" s="3">
        <f t="shared" si="2"/>
        <v>31.67</v>
      </c>
      <c r="N18" s="776">
        <v>1300.18</v>
      </c>
    </row>
    <row r="19" spans="1:14" s="7" customFormat="1" ht="20.100000000000001" customHeight="1">
      <c r="A19" s="176" t="s">
        <v>1269</v>
      </c>
      <c r="B19" s="3">
        <v>95.07</v>
      </c>
      <c r="C19" s="3">
        <v>29.32</v>
      </c>
      <c r="D19" s="3">
        <v>11.25</v>
      </c>
      <c r="E19" s="3">
        <f t="shared" si="0"/>
        <v>135.63999999999999</v>
      </c>
      <c r="F19" s="3">
        <v>79.45</v>
      </c>
      <c r="G19" s="3">
        <v>24.93</v>
      </c>
      <c r="H19" s="3">
        <v>0</v>
      </c>
      <c r="I19" s="3">
        <f t="shared" si="1"/>
        <v>104.38</v>
      </c>
      <c r="J19" s="3">
        <v>14.76</v>
      </c>
      <c r="K19" s="3">
        <v>3.8</v>
      </c>
      <c r="L19" s="3">
        <v>11.09</v>
      </c>
      <c r="M19" s="3">
        <f t="shared" si="2"/>
        <v>29.65</v>
      </c>
      <c r="N19" s="776">
        <v>1785.11</v>
      </c>
    </row>
    <row r="20" spans="1:14" s="7" customFormat="1" ht="20.100000000000001" customHeight="1">
      <c r="A20" s="183" t="s">
        <v>1268</v>
      </c>
      <c r="B20" s="906">
        <v>98.23</v>
      </c>
      <c r="C20" s="906">
        <v>28.98</v>
      </c>
      <c r="D20" s="906">
        <v>11.56</v>
      </c>
      <c r="E20" s="906">
        <f t="shared" si="0"/>
        <v>138.77000000000001</v>
      </c>
      <c r="F20" s="906">
        <v>87.77</v>
      </c>
      <c r="G20" s="906">
        <v>25.58</v>
      </c>
      <c r="H20" s="906">
        <v>0</v>
      </c>
      <c r="I20" s="906">
        <f t="shared" si="1"/>
        <v>113.35</v>
      </c>
      <c r="J20" s="906">
        <v>19.93</v>
      </c>
      <c r="K20" s="906">
        <v>6.47</v>
      </c>
      <c r="L20" s="906">
        <v>13.15</v>
      </c>
      <c r="M20" s="906">
        <f t="shared" si="2"/>
        <v>39.549999999999997</v>
      </c>
      <c r="N20" s="950">
        <v>2840.13</v>
      </c>
    </row>
    <row r="21" spans="1:14" s="7" customFormat="1" ht="20.100000000000001" customHeight="1" thickBot="1">
      <c r="A21" s="187" t="s">
        <v>1239</v>
      </c>
      <c r="B21" s="192">
        <v>103.01</v>
      </c>
      <c r="C21" s="192">
        <v>29.77</v>
      </c>
      <c r="D21" s="192">
        <v>10.3</v>
      </c>
      <c r="E21" s="192">
        <f t="shared" si="0"/>
        <v>143.08000000000001</v>
      </c>
      <c r="F21" s="192">
        <v>85.99</v>
      </c>
      <c r="G21" s="192">
        <v>25.56</v>
      </c>
      <c r="H21" s="192">
        <v>0</v>
      </c>
      <c r="I21" s="192">
        <f t="shared" si="1"/>
        <v>111.55</v>
      </c>
      <c r="J21" s="192">
        <v>11.67</v>
      </c>
      <c r="K21" s="192">
        <v>4.26</v>
      </c>
      <c r="L21" s="192">
        <v>6.13</v>
      </c>
      <c r="M21" s="192">
        <f t="shared" si="2"/>
        <v>22.060000000000002</v>
      </c>
      <c r="N21" s="949">
        <v>1701.74</v>
      </c>
    </row>
    <row r="22" spans="1:14" s="7" customFormat="1" ht="20.100000000000001" customHeight="1" thickTop="1">
      <c r="A22" s="185" t="s">
        <v>935</v>
      </c>
      <c r="B22" s="190">
        <v>109.01</v>
      </c>
      <c r="C22" s="190">
        <v>39.14</v>
      </c>
      <c r="D22" s="190">
        <v>13.73</v>
      </c>
      <c r="E22" s="190">
        <f t="shared" si="0"/>
        <v>161.88</v>
      </c>
      <c r="F22" s="190">
        <v>100.86</v>
      </c>
      <c r="G22" s="190">
        <v>29.76</v>
      </c>
      <c r="H22" s="190">
        <v>0</v>
      </c>
      <c r="I22" s="190">
        <f t="shared" si="1"/>
        <v>130.62</v>
      </c>
      <c r="J22" s="190">
        <v>13.62</v>
      </c>
      <c r="K22" s="190">
        <v>6.72</v>
      </c>
      <c r="L22" s="190">
        <v>11.4</v>
      </c>
      <c r="M22" s="190">
        <f t="shared" si="2"/>
        <v>31.740000000000002</v>
      </c>
      <c r="N22" s="781">
        <v>1296.57</v>
      </c>
    </row>
    <row r="23" spans="1:14" s="7" customFormat="1" ht="20.100000000000001" customHeight="1">
      <c r="A23" s="176" t="s">
        <v>934</v>
      </c>
      <c r="B23" s="3">
        <v>113.54</v>
      </c>
      <c r="C23" s="3">
        <v>41.12</v>
      </c>
      <c r="D23" s="3">
        <v>13.32</v>
      </c>
      <c r="E23" s="3">
        <f t="shared" si="0"/>
        <v>167.98</v>
      </c>
      <c r="F23" s="3">
        <v>104.8</v>
      </c>
      <c r="G23" s="3">
        <v>31.44</v>
      </c>
      <c r="H23" s="3">
        <v>0</v>
      </c>
      <c r="I23" s="3">
        <f t="shared" si="1"/>
        <v>136.24</v>
      </c>
      <c r="J23" s="3">
        <v>6.35</v>
      </c>
      <c r="K23" s="3">
        <v>9.68</v>
      </c>
      <c r="L23" s="3">
        <v>15.42</v>
      </c>
      <c r="M23" s="3">
        <f t="shared" si="2"/>
        <v>31.450000000000003</v>
      </c>
      <c r="N23" s="776">
        <v>240</v>
      </c>
    </row>
    <row r="24" spans="1:14" s="7" customFormat="1" ht="20.100000000000001" customHeight="1">
      <c r="A24" s="176" t="s">
        <v>933</v>
      </c>
      <c r="B24" s="3">
        <v>115.92</v>
      </c>
      <c r="C24" s="3">
        <v>47.99</v>
      </c>
      <c r="D24" s="3">
        <v>16.78</v>
      </c>
      <c r="E24" s="3">
        <f t="shared" si="0"/>
        <v>180.69</v>
      </c>
      <c r="F24" s="3">
        <v>108.9</v>
      </c>
      <c r="G24" s="3">
        <v>33.99</v>
      </c>
      <c r="H24" s="3">
        <v>0</v>
      </c>
      <c r="I24" s="3">
        <f t="shared" si="1"/>
        <v>142.89000000000001</v>
      </c>
      <c r="J24" s="3">
        <v>8.33</v>
      </c>
      <c r="K24" s="3">
        <v>15.03</v>
      </c>
      <c r="L24" s="3">
        <v>17.34</v>
      </c>
      <c r="M24" s="3">
        <f t="shared" si="2"/>
        <v>40.699999999999996</v>
      </c>
      <c r="N24" s="776">
        <v>197.16</v>
      </c>
    </row>
    <row r="25" spans="1:14" s="7" customFormat="1" ht="20.100000000000001" customHeight="1">
      <c r="A25" s="176" t="s">
        <v>932</v>
      </c>
      <c r="B25" s="3">
        <v>109.2</v>
      </c>
      <c r="C25" s="3">
        <v>42.15</v>
      </c>
      <c r="D25" s="3">
        <v>15.68</v>
      </c>
      <c r="E25" s="3">
        <f t="shared" si="0"/>
        <v>167.03</v>
      </c>
      <c r="F25" s="3">
        <v>109.61</v>
      </c>
      <c r="G25" s="3">
        <v>37.43</v>
      </c>
      <c r="H25" s="3">
        <v>0</v>
      </c>
      <c r="I25" s="3">
        <f t="shared" si="1"/>
        <v>147.04</v>
      </c>
      <c r="J25" s="3">
        <v>1.54</v>
      </c>
      <c r="K25" s="3">
        <v>3.96</v>
      </c>
      <c r="L25" s="3">
        <v>15.41</v>
      </c>
      <c r="M25" s="3">
        <f t="shared" si="2"/>
        <v>20.91</v>
      </c>
      <c r="N25" s="776" t="s">
        <v>1555</v>
      </c>
    </row>
    <row r="26" spans="1:14" s="7" customFormat="1" ht="20.100000000000001" customHeight="1">
      <c r="A26" s="176" t="s">
        <v>931</v>
      </c>
      <c r="B26" s="3">
        <v>113.1</v>
      </c>
      <c r="C26" s="3">
        <v>43.82</v>
      </c>
      <c r="D26" s="3">
        <v>16.670000000000002</v>
      </c>
      <c r="E26" s="3">
        <f t="shared" si="0"/>
        <v>173.58999999999997</v>
      </c>
      <c r="F26" s="3">
        <v>107.71</v>
      </c>
      <c r="G26" s="3">
        <v>38.61</v>
      </c>
      <c r="H26" s="3">
        <v>0</v>
      </c>
      <c r="I26" s="3">
        <f t="shared" si="1"/>
        <v>146.32</v>
      </c>
      <c r="J26" s="3">
        <v>2.69</v>
      </c>
      <c r="K26" s="3">
        <v>4.29</v>
      </c>
      <c r="L26" s="3">
        <v>17.010000000000002</v>
      </c>
      <c r="M26" s="3">
        <f t="shared" si="2"/>
        <v>23.990000000000002</v>
      </c>
      <c r="N26" s="776">
        <v>113.09</v>
      </c>
    </row>
    <row r="27" spans="1:14" s="7" customFormat="1" ht="20.100000000000001" customHeight="1">
      <c r="A27" s="176" t="s">
        <v>930</v>
      </c>
      <c r="B27" s="3">
        <v>104.74</v>
      </c>
      <c r="C27" s="3">
        <v>40.19</v>
      </c>
      <c r="D27" s="3">
        <v>16.010000000000002</v>
      </c>
      <c r="E27" s="3">
        <f t="shared" si="0"/>
        <v>160.94</v>
      </c>
      <c r="F27" s="3">
        <v>105.62</v>
      </c>
      <c r="G27" s="3">
        <v>39.06</v>
      </c>
      <c r="H27" s="3">
        <v>0</v>
      </c>
      <c r="I27" s="3">
        <f t="shared" si="1"/>
        <v>144.68</v>
      </c>
      <c r="J27" s="3">
        <v>0.67</v>
      </c>
      <c r="K27" s="3">
        <v>1.7</v>
      </c>
      <c r="L27" s="3">
        <v>15.2</v>
      </c>
      <c r="M27" s="3">
        <f t="shared" si="2"/>
        <v>17.57</v>
      </c>
      <c r="N27" s="776" t="s">
        <v>1555</v>
      </c>
    </row>
    <row r="28" spans="1:14" s="7" customFormat="1" ht="20.100000000000001" customHeight="1">
      <c r="A28" s="176" t="s">
        <v>487</v>
      </c>
      <c r="B28" s="3">
        <v>110.77</v>
      </c>
      <c r="C28" s="3">
        <v>41.24</v>
      </c>
      <c r="D28" s="3">
        <v>15.98</v>
      </c>
      <c r="E28" s="3">
        <f t="shared" si="0"/>
        <v>167.98999999999998</v>
      </c>
      <c r="F28" s="3">
        <v>106.34</v>
      </c>
      <c r="G28" s="3">
        <v>36.32</v>
      </c>
      <c r="H28" s="3">
        <v>0</v>
      </c>
      <c r="I28" s="3">
        <f t="shared" si="1"/>
        <v>142.66</v>
      </c>
      <c r="J28" s="3">
        <v>1.32</v>
      </c>
      <c r="K28" s="3">
        <v>3.38</v>
      </c>
      <c r="L28" s="3">
        <v>15.48</v>
      </c>
      <c r="M28" s="3">
        <f t="shared" si="2"/>
        <v>20.18</v>
      </c>
      <c r="N28" s="776" t="s">
        <v>1555</v>
      </c>
    </row>
    <row r="29" spans="1:14" s="7" customFormat="1" ht="20.100000000000001" customHeight="1">
      <c r="A29" s="176" t="s">
        <v>486</v>
      </c>
      <c r="B29" s="3">
        <v>117.14</v>
      </c>
      <c r="C29" s="3">
        <v>46.24</v>
      </c>
      <c r="D29" s="3">
        <v>20.61</v>
      </c>
      <c r="E29" s="3">
        <f t="shared" si="0"/>
        <v>183.99</v>
      </c>
      <c r="F29" s="3">
        <v>113.39</v>
      </c>
      <c r="G29" s="3">
        <v>40.65</v>
      </c>
      <c r="H29" s="3">
        <v>0</v>
      </c>
      <c r="I29" s="3">
        <f t="shared" si="1"/>
        <v>154.04</v>
      </c>
      <c r="J29" s="3">
        <v>4.1100000000000003</v>
      </c>
      <c r="K29" s="3">
        <v>2.96</v>
      </c>
      <c r="L29" s="3">
        <v>20.45</v>
      </c>
      <c r="M29" s="3">
        <f t="shared" si="2"/>
        <v>27.52</v>
      </c>
      <c r="N29" s="776">
        <v>684.73</v>
      </c>
    </row>
    <row r="30" spans="1:14" s="7" customFormat="1" ht="20.100000000000001" customHeight="1">
      <c r="A30" s="176" t="s">
        <v>485</v>
      </c>
      <c r="B30" s="3">
        <v>127.23</v>
      </c>
      <c r="C30" s="3">
        <v>52.04</v>
      </c>
      <c r="D30" s="3">
        <v>24.14</v>
      </c>
      <c r="E30" s="3">
        <f t="shared" si="0"/>
        <v>203.41000000000003</v>
      </c>
      <c r="F30" s="3">
        <v>113.55</v>
      </c>
      <c r="G30" s="3">
        <v>42.21</v>
      </c>
      <c r="H30" s="3">
        <v>0</v>
      </c>
      <c r="I30" s="3">
        <f t="shared" si="1"/>
        <v>155.76</v>
      </c>
      <c r="J30" s="3">
        <v>13.85</v>
      </c>
      <c r="K30" s="3">
        <v>11.21</v>
      </c>
      <c r="L30" s="3">
        <v>27.47</v>
      </c>
      <c r="M30" s="3">
        <f t="shared" si="2"/>
        <v>52.53</v>
      </c>
      <c r="N30" s="776">
        <v>1747.34</v>
      </c>
    </row>
    <row r="31" spans="1:14" s="7" customFormat="1" ht="20.100000000000001" customHeight="1">
      <c r="A31" s="176" t="s">
        <v>484</v>
      </c>
      <c r="B31" s="3">
        <v>137.72999999999999</v>
      </c>
      <c r="C31" s="3">
        <v>55.43</v>
      </c>
      <c r="D31" s="3">
        <v>23.35</v>
      </c>
      <c r="E31" s="3">
        <f t="shared" si="0"/>
        <v>216.51</v>
      </c>
      <c r="F31" s="3">
        <v>115.77</v>
      </c>
      <c r="G31" s="3">
        <v>45.17</v>
      </c>
      <c r="H31" s="3">
        <v>0</v>
      </c>
      <c r="I31" s="3">
        <f t="shared" si="1"/>
        <v>160.94</v>
      </c>
      <c r="J31" s="3">
        <v>26.88</v>
      </c>
      <c r="K31" s="3">
        <v>13.23</v>
      </c>
      <c r="L31" s="3">
        <v>20.69</v>
      </c>
      <c r="M31" s="3">
        <f t="shared" si="2"/>
        <v>60.8</v>
      </c>
      <c r="N31" s="776">
        <v>4647.18</v>
      </c>
    </row>
    <row r="32" spans="1:14" s="7" customFormat="1" ht="20.100000000000001" customHeight="1">
      <c r="A32" s="176" t="s">
        <v>483</v>
      </c>
      <c r="B32" s="3">
        <v>144.19</v>
      </c>
      <c r="C32" s="3">
        <v>55.15</v>
      </c>
      <c r="D32" s="3">
        <v>26.36</v>
      </c>
      <c r="E32" s="3">
        <f t="shared" si="0"/>
        <v>225.7</v>
      </c>
      <c r="F32" s="3">
        <v>108.99</v>
      </c>
      <c r="G32" s="3">
        <v>38.07</v>
      </c>
      <c r="H32" s="3">
        <v>0</v>
      </c>
      <c r="I32" s="3">
        <f t="shared" si="1"/>
        <v>147.06</v>
      </c>
      <c r="J32" s="3">
        <v>36.770000000000003</v>
      </c>
      <c r="K32" s="3">
        <v>12.53</v>
      </c>
      <c r="L32" s="3">
        <v>26.53</v>
      </c>
      <c r="M32" s="3">
        <f t="shared" si="2"/>
        <v>75.830000000000013</v>
      </c>
      <c r="N32" s="776">
        <v>8334.65</v>
      </c>
    </row>
    <row r="33" spans="1:14" s="7" customFormat="1" ht="20.100000000000001" customHeight="1">
      <c r="A33" s="176" t="s">
        <v>482</v>
      </c>
      <c r="B33" s="3">
        <v>150.91</v>
      </c>
      <c r="C33" s="3">
        <v>65.06</v>
      </c>
      <c r="D33" s="3">
        <v>33.130000000000003</v>
      </c>
      <c r="E33" s="3">
        <f t="shared" si="0"/>
        <v>249.1</v>
      </c>
      <c r="F33" s="3">
        <v>108.7</v>
      </c>
      <c r="G33" s="3">
        <v>34.64</v>
      </c>
      <c r="H33" s="3">
        <v>0</v>
      </c>
      <c r="I33" s="3">
        <f t="shared" si="1"/>
        <v>143.34</v>
      </c>
      <c r="J33" s="3">
        <v>38.44</v>
      </c>
      <c r="K33" s="3">
        <v>29.27</v>
      </c>
      <c r="L33" s="3">
        <v>33.799999999999997</v>
      </c>
      <c r="M33" s="3">
        <f t="shared" si="2"/>
        <v>101.50999999999999</v>
      </c>
      <c r="N33" s="776">
        <v>11091.87</v>
      </c>
    </row>
    <row r="34" spans="1:14" s="7" customFormat="1" ht="20.100000000000001" customHeight="1">
      <c r="A34" s="176" t="s">
        <v>497</v>
      </c>
      <c r="B34" s="3">
        <v>155.80000000000001</v>
      </c>
      <c r="C34" s="3">
        <v>72.739999999999995</v>
      </c>
      <c r="D34" s="3">
        <v>36.32</v>
      </c>
      <c r="E34" s="3">
        <f t="shared" si="0"/>
        <v>264.86</v>
      </c>
      <c r="F34" s="3">
        <v>119</v>
      </c>
      <c r="G34" s="3">
        <v>43.21</v>
      </c>
      <c r="H34" s="3">
        <v>0</v>
      </c>
      <c r="I34" s="3">
        <f t="shared" si="1"/>
        <v>162.21</v>
      </c>
      <c r="J34" s="3">
        <v>34.47</v>
      </c>
      <c r="K34" s="3">
        <v>27.56</v>
      </c>
      <c r="L34" s="3">
        <v>29.44</v>
      </c>
      <c r="M34" s="3">
        <f t="shared" si="2"/>
        <v>91.47</v>
      </c>
      <c r="N34" s="776">
        <v>5754.01</v>
      </c>
    </row>
    <row r="35" spans="1:14" s="7" customFormat="1" ht="20.100000000000001" customHeight="1">
      <c r="A35" s="176" t="s">
        <v>1</v>
      </c>
      <c r="B35" s="3">
        <v>165.58</v>
      </c>
      <c r="C35" s="3">
        <v>80.5</v>
      </c>
      <c r="D35" s="3">
        <v>35.14</v>
      </c>
      <c r="E35" s="3">
        <f t="shared" si="0"/>
        <v>281.22000000000003</v>
      </c>
      <c r="F35" s="3">
        <v>121.57</v>
      </c>
      <c r="G35" s="3">
        <v>42.23</v>
      </c>
      <c r="H35" s="3">
        <v>0</v>
      </c>
      <c r="I35" s="3">
        <f t="shared" si="1"/>
        <v>163.79999999999998</v>
      </c>
      <c r="J35" s="3">
        <v>44.92</v>
      </c>
      <c r="K35" s="3">
        <v>38.020000000000003</v>
      </c>
      <c r="L35" s="3">
        <v>40.69</v>
      </c>
      <c r="M35" s="3">
        <f t="shared" si="2"/>
        <v>123.63000000000001</v>
      </c>
      <c r="N35" s="776">
        <v>8348.89</v>
      </c>
    </row>
    <row r="36" spans="1:14" s="7" customFormat="1" ht="20.100000000000001" customHeight="1">
      <c r="A36" s="176" t="s">
        <v>2</v>
      </c>
      <c r="B36" s="3">
        <v>173</v>
      </c>
      <c r="C36" s="3">
        <v>79.14</v>
      </c>
      <c r="D36" s="3">
        <v>25.75</v>
      </c>
      <c r="E36" s="3">
        <f t="shared" si="0"/>
        <v>277.89</v>
      </c>
      <c r="F36" s="3">
        <v>122.59</v>
      </c>
      <c r="G36" s="3">
        <v>43.68</v>
      </c>
      <c r="H36" s="3">
        <v>0</v>
      </c>
      <c r="I36" s="3">
        <f t="shared" si="1"/>
        <v>166.27</v>
      </c>
      <c r="J36" s="3">
        <v>52.4</v>
      </c>
      <c r="K36" s="3">
        <v>44.27</v>
      </c>
      <c r="L36" s="3">
        <v>33.35</v>
      </c>
      <c r="M36" s="3">
        <f t="shared" si="2"/>
        <v>130.02000000000001</v>
      </c>
      <c r="N36" s="776">
        <v>15442.02</v>
      </c>
    </row>
    <row r="37" spans="1:14" s="7" customFormat="1" ht="20.100000000000001" customHeight="1">
      <c r="A37" s="176" t="s">
        <v>3</v>
      </c>
      <c r="B37" s="3">
        <v>168.21</v>
      </c>
      <c r="C37" s="3">
        <v>66.53</v>
      </c>
      <c r="D37" s="3">
        <v>20.62</v>
      </c>
      <c r="E37" s="3">
        <f t="shared" si="0"/>
        <v>255.36</v>
      </c>
      <c r="F37" s="3">
        <v>121.94</v>
      </c>
      <c r="G37" s="3">
        <v>38.299999999999997</v>
      </c>
      <c r="H37" s="3">
        <v>0</v>
      </c>
      <c r="I37" s="3">
        <f t="shared" si="1"/>
        <v>160.24</v>
      </c>
      <c r="J37" s="3">
        <v>46.9</v>
      </c>
      <c r="K37" s="3">
        <v>27.78</v>
      </c>
      <c r="L37" s="3">
        <v>12.3</v>
      </c>
      <c r="M37" s="3">
        <f t="shared" si="2"/>
        <v>86.97999999999999</v>
      </c>
      <c r="N37" s="776">
        <v>15980.22</v>
      </c>
    </row>
    <row r="38" spans="1:14" s="7" customFormat="1" ht="20.100000000000001" customHeight="1">
      <c r="A38" s="176" t="s">
        <v>13</v>
      </c>
      <c r="B38" s="3">
        <v>167.5</v>
      </c>
      <c r="C38" s="3">
        <v>56.33</v>
      </c>
      <c r="D38" s="3">
        <v>20.99</v>
      </c>
      <c r="E38" s="3">
        <f t="shared" si="0"/>
        <v>244.82</v>
      </c>
      <c r="F38" s="3">
        <v>123.78</v>
      </c>
      <c r="G38" s="3">
        <v>39.6</v>
      </c>
      <c r="H38" s="3">
        <v>0</v>
      </c>
      <c r="I38" s="3">
        <f t="shared" si="1"/>
        <v>163.38</v>
      </c>
      <c r="J38" s="3">
        <v>38.08</v>
      </c>
      <c r="K38" s="3">
        <v>15.9</v>
      </c>
      <c r="L38" s="3">
        <v>13.33</v>
      </c>
      <c r="M38" s="3">
        <f t="shared" si="2"/>
        <v>67.31</v>
      </c>
      <c r="N38" s="776">
        <v>14987.95</v>
      </c>
    </row>
    <row r="39" spans="1:14" s="7" customFormat="1" ht="20.100000000000001" customHeight="1">
      <c r="A39" s="183" t="s">
        <v>41</v>
      </c>
      <c r="B39" s="906">
        <v>169.45</v>
      </c>
      <c r="C39" s="906">
        <v>60.98</v>
      </c>
      <c r="D39" s="906">
        <v>25.32</v>
      </c>
      <c r="E39" s="906">
        <f t="shared" si="0"/>
        <v>255.74999999999997</v>
      </c>
      <c r="F39" s="906">
        <v>123.94</v>
      </c>
      <c r="G39" s="906">
        <v>41.21</v>
      </c>
      <c r="H39" s="906">
        <v>0</v>
      </c>
      <c r="I39" s="906">
        <f t="shared" si="1"/>
        <v>165.15</v>
      </c>
      <c r="J39" s="906">
        <v>47.66</v>
      </c>
      <c r="K39" s="906">
        <v>18.32</v>
      </c>
      <c r="L39" s="906">
        <v>25.37</v>
      </c>
      <c r="M39" s="906">
        <f t="shared" si="2"/>
        <v>91.35</v>
      </c>
      <c r="N39" s="950">
        <v>12035.26</v>
      </c>
    </row>
    <row r="40" spans="1:14" s="7" customFormat="1" ht="20.100000000000001" customHeight="1" thickBot="1">
      <c r="A40" s="187" t="s">
        <v>42</v>
      </c>
      <c r="B40" s="192">
        <v>173.72</v>
      </c>
      <c r="C40" s="192">
        <v>69.790000000000006</v>
      </c>
      <c r="D40" s="192">
        <v>24.02</v>
      </c>
      <c r="E40" s="192">
        <f t="shared" si="0"/>
        <v>267.52999999999997</v>
      </c>
      <c r="F40" s="192">
        <v>134.16</v>
      </c>
      <c r="G40" s="192">
        <v>43.94</v>
      </c>
      <c r="H40" s="192">
        <v>0</v>
      </c>
      <c r="I40" s="192">
        <f t="shared" si="1"/>
        <v>178.1</v>
      </c>
      <c r="J40" s="192">
        <v>50.68</v>
      </c>
      <c r="K40" s="192">
        <v>28.88</v>
      </c>
      <c r="L40" s="192">
        <v>20.53</v>
      </c>
      <c r="M40" s="192">
        <f t="shared" si="2"/>
        <v>100.09</v>
      </c>
      <c r="N40" s="949">
        <v>13984.93</v>
      </c>
    </row>
    <row r="41" spans="1:14" s="7" customFormat="1" ht="20.100000000000001" customHeight="1" thickTop="1">
      <c r="A41" s="185" t="s">
        <v>129</v>
      </c>
      <c r="B41" s="190">
        <v>167.35</v>
      </c>
      <c r="C41" s="190">
        <v>67.05</v>
      </c>
      <c r="D41" s="190">
        <v>25.08</v>
      </c>
      <c r="E41" s="190">
        <f t="shared" si="0"/>
        <v>259.47999999999996</v>
      </c>
      <c r="F41" s="190">
        <v>133.54</v>
      </c>
      <c r="G41" s="190">
        <v>45.95</v>
      </c>
      <c r="H41" s="190">
        <v>0</v>
      </c>
      <c r="I41" s="190">
        <f t="shared" si="1"/>
        <v>179.49</v>
      </c>
      <c r="J41" s="190">
        <v>33.880000000000003</v>
      </c>
      <c r="K41" s="190">
        <v>21.29</v>
      </c>
      <c r="L41" s="190">
        <v>23.18</v>
      </c>
      <c r="M41" s="190">
        <f t="shared" si="2"/>
        <v>78.349999999999994</v>
      </c>
      <c r="N41" s="781">
        <v>7024.32</v>
      </c>
    </row>
    <row r="42" spans="1:14" s="7" customFormat="1" ht="20.100000000000001" customHeight="1">
      <c r="A42" s="176" t="s">
        <v>142</v>
      </c>
      <c r="B42" s="3">
        <v>169.58</v>
      </c>
      <c r="C42" s="3">
        <v>68.540000000000006</v>
      </c>
      <c r="D42" s="3">
        <v>27.79</v>
      </c>
      <c r="E42" s="3">
        <f t="shared" si="0"/>
        <v>265.91000000000003</v>
      </c>
      <c r="F42" s="3">
        <v>133.83000000000001</v>
      </c>
      <c r="G42" s="3">
        <v>47.23</v>
      </c>
      <c r="H42" s="3">
        <v>0</v>
      </c>
      <c r="I42" s="3">
        <f t="shared" si="1"/>
        <v>181.06</v>
      </c>
      <c r="J42" s="3">
        <v>35.880000000000003</v>
      </c>
      <c r="K42" s="3">
        <v>20.47</v>
      </c>
      <c r="L42" s="3">
        <v>28.95</v>
      </c>
      <c r="M42" s="3">
        <f t="shared" si="2"/>
        <v>85.300000000000011</v>
      </c>
      <c r="N42" s="776">
        <v>8350.94</v>
      </c>
    </row>
    <row r="43" spans="1:14" s="7" customFormat="1" ht="19.899999999999999" customHeight="1">
      <c r="A43" s="176" t="s">
        <v>276</v>
      </c>
      <c r="B43" s="3">
        <v>176.28</v>
      </c>
      <c r="C43" s="3">
        <v>69.680000000000007</v>
      </c>
      <c r="D43" s="3">
        <v>27.79</v>
      </c>
      <c r="E43" s="3">
        <f t="shared" si="0"/>
        <v>273.75</v>
      </c>
      <c r="F43" s="3">
        <v>133.44</v>
      </c>
      <c r="G43" s="3">
        <v>45.94</v>
      </c>
      <c r="H43" s="3">
        <v>0</v>
      </c>
      <c r="I43" s="3">
        <f t="shared" si="1"/>
        <v>179.38</v>
      </c>
      <c r="J43" s="3">
        <v>47.01</v>
      </c>
      <c r="K43" s="3">
        <v>31.67</v>
      </c>
      <c r="L43" s="3">
        <v>26.29</v>
      </c>
      <c r="M43" s="3">
        <f t="shared" si="2"/>
        <v>104.97</v>
      </c>
      <c r="N43" s="948" t="s">
        <v>47</v>
      </c>
    </row>
    <row r="44" spans="1:14" s="7" customFormat="1" ht="19.899999999999999" customHeight="1">
      <c r="A44" s="176" t="s">
        <v>522</v>
      </c>
      <c r="B44" s="3">
        <v>191.01</v>
      </c>
      <c r="C44" s="3">
        <v>76.62</v>
      </c>
      <c r="D44" s="3">
        <v>26.07</v>
      </c>
      <c r="E44" s="3">
        <v>293.69</v>
      </c>
      <c r="F44" s="3">
        <v>136.85</v>
      </c>
      <c r="G44" s="3">
        <v>47.91</v>
      </c>
      <c r="H44" s="3">
        <v>0</v>
      </c>
      <c r="I44" s="3">
        <v>184.76</v>
      </c>
      <c r="J44" s="3">
        <v>51.91</v>
      </c>
      <c r="K44" s="3">
        <v>24.13</v>
      </c>
      <c r="L44" s="3">
        <v>22.8</v>
      </c>
      <c r="M44" s="3">
        <v>98.84</v>
      </c>
      <c r="N44" s="948" t="s">
        <v>47</v>
      </c>
    </row>
    <row r="45" spans="1:14" s="7" customFormat="1" ht="19.899999999999999" customHeight="1">
      <c r="A45" s="176" t="s">
        <v>652</v>
      </c>
      <c r="B45" s="3">
        <v>204.04</v>
      </c>
      <c r="C45" s="3">
        <v>89.78</v>
      </c>
      <c r="D45" s="3">
        <v>31.54</v>
      </c>
      <c r="E45" s="3">
        <f>SUM(B45:D45)</f>
        <v>325.36</v>
      </c>
      <c r="F45" s="3">
        <v>137.15</v>
      </c>
      <c r="G45" s="3">
        <v>47.39</v>
      </c>
      <c r="H45" s="3">
        <v>0</v>
      </c>
      <c r="I45" s="3">
        <f>SUM(F45:H45)</f>
        <v>184.54000000000002</v>
      </c>
      <c r="J45" s="3">
        <v>56.33</v>
      </c>
      <c r="K45" s="3">
        <v>25.43</v>
      </c>
      <c r="L45" s="3">
        <v>26.7</v>
      </c>
      <c r="M45" s="3">
        <f>SUM(J45:L45)</f>
        <v>108.46</v>
      </c>
      <c r="N45" s="948"/>
    </row>
    <row r="46" spans="1:14" s="7" customFormat="1" ht="19.899999999999999" customHeight="1">
      <c r="A46" s="947" t="s">
        <v>2013</v>
      </c>
      <c r="B46" s="1177"/>
      <c r="C46" s="1177"/>
      <c r="D46" s="1177"/>
      <c r="E46" s="1177"/>
      <c r="F46" s="1177"/>
      <c r="G46" s="1177"/>
      <c r="H46" s="1177"/>
      <c r="I46" s="1177"/>
      <c r="J46" s="1177"/>
      <c r="K46" s="1177"/>
      <c r="L46" s="1177"/>
      <c r="M46" s="1177"/>
      <c r="N46" s="1150"/>
    </row>
    <row r="47" spans="1:14" s="7" customFormat="1" ht="18" customHeight="1">
      <c r="A47" s="2344" t="s">
        <v>2012</v>
      </c>
      <c r="B47" s="2345"/>
      <c r="C47" s="2345"/>
      <c r="D47" s="2345"/>
      <c r="E47" s="2345"/>
      <c r="F47" s="2345"/>
      <c r="G47" s="2345"/>
      <c r="H47" s="2345"/>
      <c r="I47" s="2345"/>
      <c r="J47" s="2345"/>
      <c r="K47" s="2345"/>
      <c r="L47" s="2345"/>
      <c r="M47" s="2345"/>
      <c r="N47" s="2346"/>
    </row>
    <row r="48" spans="1:14" s="7" customFormat="1" ht="18" customHeight="1">
      <c r="A48" s="1136" t="s">
        <v>2011</v>
      </c>
      <c r="K48" s="723" t="s">
        <v>2010</v>
      </c>
      <c r="N48" s="1137"/>
    </row>
    <row r="49" spans="1:14" s="7" customFormat="1" ht="18" customHeight="1">
      <c r="A49" s="2215" t="s">
        <v>2009</v>
      </c>
      <c r="B49" s="2184"/>
      <c r="C49" s="2184"/>
      <c r="D49" s="2184"/>
      <c r="E49" s="2184"/>
      <c r="F49" s="2184"/>
      <c r="G49" s="2184"/>
      <c r="H49" s="2184"/>
      <c r="I49" s="2184"/>
      <c r="J49" s="2184"/>
      <c r="K49" s="2184"/>
      <c r="L49" s="2184"/>
      <c r="M49" s="2184"/>
      <c r="N49" s="2216"/>
    </row>
    <row r="50" spans="1:14" s="7" customFormat="1" ht="18" customHeight="1">
      <c r="A50" s="2347" t="s">
        <v>2008</v>
      </c>
      <c r="B50" s="2348"/>
      <c r="C50" s="2348"/>
      <c r="D50" s="2348"/>
      <c r="E50" s="2348"/>
      <c r="F50" s="2348"/>
      <c r="G50" s="2348"/>
      <c r="H50" s="2348"/>
      <c r="I50" s="2348"/>
      <c r="J50" s="2348"/>
      <c r="K50" s="2348"/>
      <c r="L50" s="2348"/>
      <c r="M50" s="2348"/>
      <c r="N50" s="2349"/>
    </row>
    <row r="51" spans="1:14" s="7" customFormat="1" ht="18" customHeight="1">
      <c r="A51" s="2215" t="s">
        <v>2007</v>
      </c>
      <c r="B51" s="2184"/>
      <c r="C51" s="2184"/>
      <c r="D51" s="2184"/>
      <c r="E51" s="2184"/>
      <c r="F51" s="2184"/>
      <c r="G51" s="2184"/>
      <c r="H51" s="2184"/>
      <c r="I51" s="2184"/>
      <c r="J51" s="2184"/>
      <c r="K51" s="2184"/>
      <c r="L51" s="2184"/>
      <c r="M51" s="2184"/>
      <c r="N51" s="2216"/>
    </row>
    <row r="52" spans="1:14" s="7" customFormat="1" ht="35.25" customHeight="1" thickBot="1">
      <c r="A52" s="1993" t="s">
        <v>2006</v>
      </c>
      <c r="B52" s="1994"/>
      <c r="C52" s="1994"/>
      <c r="D52" s="1994"/>
      <c r="E52" s="1994"/>
      <c r="F52" s="1994"/>
      <c r="G52" s="1994"/>
      <c r="H52" s="1994"/>
      <c r="I52" s="1994"/>
      <c r="J52" s="1994"/>
      <c r="K52" s="1994"/>
      <c r="L52" s="1994"/>
      <c r="M52" s="1994"/>
      <c r="N52" s="1995"/>
    </row>
    <row r="53" spans="1:14" ht="15.75" thickTop="1"/>
  </sheetData>
  <mergeCells count="13">
    <mergeCell ref="A52:N52"/>
    <mergeCell ref="A47:N47"/>
    <mergeCell ref="A50:N50"/>
    <mergeCell ref="A51:N51"/>
    <mergeCell ref="A49:N49"/>
    <mergeCell ref="A2:N2"/>
    <mergeCell ref="A1:N1"/>
    <mergeCell ref="M3:N3"/>
    <mergeCell ref="A4:A5"/>
    <mergeCell ref="B4:E4"/>
    <mergeCell ref="F4:I4"/>
    <mergeCell ref="J4:M4"/>
    <mergeCell ref="N4:N5"/>
  </mergeCells>
  <conditionalFormatting sqref="A6:N45">
    <cfRule type="expression" dxfId="40" priority="1">
      <formula>MOD(ROW(),3)=1</formula>
    </cfRule>
  </conditionalFormatting>
  <printOptions horizontalCentered="1"/>
  <pageMargins left="0" right="0" top="0.31" bottom="0.34" header="0.31496062992126" footer="0.31496062992126"/>
  <pageSetup paperSize="9" scale="97" fitToWidth="0" fitToHeight="0" orientation="landscape" r:id="rId1"/>
  <rowBreaks count="2" manualBreakCount="2">
    <brk id="21" max="13" man="1"/>
    <brk id="40" max="1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42F585-7622-4FC0-924B-F0B4671AF6A6}">
  <dimension ref="A1:I86"/>
  <sheetViews>
    <sheetView view="pageBreakPreview" zoomScaleSheetLayoutView="100" workbookViewId="0">
      <selection activeCell="S17" sqref="S17"/>
    </sheetView>
  </sheetViews>
  <sheetFormatPr defaultRowHeight="15"/>
  <cols>
    <col min="1" max="1" width="55.42578125" customWidth="1"/>
    <col min="2" max="2" width="7.28515625" customWidth="1"/>
    <col min="3" max="3" width="10.42578125" customWidth="1"/>
    <col min="4" max="4" width="10.28515625" customWidth="1"/>
    <col min="5" max="5" width="9.28515625" bestFit="1" customWidth="1"/>
    <col min="6" max="6" width="11" bestFit="1" customWidth="1"/>
    <col min="7" max="7" width="9.28515625" bestFit="1" customWidth="1"/>
    <col min="8" max="8" width="11" bestFit="1" customWidth="1"/>
    <col min="9" max="9" width="50" customWidth="1"/>
  </cols>
  <sheetData>
    <row r="1" spans="1:9" ht="51.75" customHeight="1" thickTop="1">
      <c r="A1" s="1922" t="s">
        <v>2576</v>
      </c>
      <c r="B1" s="1923"/>
      <c r="C1" s="1923"/>
      <c r="D1" s="1923"/>
      <c r="E1" s="1923"/>
      <c r="F1" s="1923"/>
      <c r="G1" s="1923"/>
      <c r="H1" s="1923"/>
      <c r="I1" s="1924"/>
    </row>
    <row r="2" spans="1:9">
      <c r="A2" s="1925" t="s">
        <v>2574</v>
      </c>
      <c r="B2" s="1926"/>
      <c r="C2" s="1926"/>
      <c r="D2" s="1926"/>
      <c r="E2" s="1926"/>
      <c r="F2" s="1926"/>
      <c r="G2" s="1926"/>
      <c r="H2" s="1926"/>
      <c r="I2" s="1927"/>
    </row>
    <row r="3" spans="1:9">
      <c r="A3" s="1928" t="s">
        <v>2683</v>
      </c>
      <c r="B3" s="1929" t="s">
        <v>2686</v>
      </c>
      <c r="C3" s="1929" t="s">
        <v>522</v>
      </c>
      <c r="D3" s="1929"/>
      <c r="E3" s="1929" t="s">
        <v>652</v>
      </c>
      <c r="F3" s="1929"/>
      <c r="G3" s="1929" t="s">
        <v>1266</v>
      </c>
      <c r="H3" s="1929"/>
      <c r="I3" s="1921" t="s">
        <v>2573</v>
      </c>
    </row>
    <row r="4" spans="1:9" ht="41.25" customHeight="1">
      <c r="A4" s="1928"/>
      <c r="B4" s="1929"/>
      <c r="C4" s="79" t="s">
        <v>2687</v>
      </c>
      <c r="D4" s="79" t="s">
        <v>2688</v>
      </c>
      <c r="E4" s="79" t="s">
        <v>2689</v>
      </c>
      <c r="F4" s="79" t="s">
        <v>2690</v>
      </c>
      <c r="G4" s="79" t="s">
        <v>2689</v>
      </c>
      <c r="H4" s="79" t="s">
        <v>2691</v>
      </c>
      <c r="I4" s="1921"/>
    </row>
    <row r="5" spans="1:9" ht="24">
      <c r="A5" s="1791" t="s">
        <v>2611</v>
      </c>
      <c r="B5" s="627" t="s">
        <v>2516</v>
      </c>
      <c r="C5" s="1121">
        <v>92241</v>
      </c>
      <c r="D5" s="1121">
        <v>1568206</v>
      </c>
      <c r="E5" s="1121">
        <v>23411</v>
      </c>
      <c r="F5" s="1121">
        <v>376713</v>
      </c>
      <c r="G5" s="1121">
        <v>14106</v>
      </c>
      <c r="H5" s="1121">
        <v>236450</v>
      </c>
      <c r="I5" s="1729" t="s">
        <v>2572</v>
      </c>
    </row>
    <row r="6" spans="1:9" ht="24">
      <c r="A6" s="1791" t="s">
        <v>2612</v>
      </c>
      <c r="B6" s="627" t="s">
        <v>2516</v>
      </c>
      <c r="C6" s="1121">
        <v>27</v>
      </c>
      <c r="D6" s="1121">
        <v>256</v>
      </c>
      <c r="E6" s="1121">
        <v>4</v>
      </c>
      <c r="F6" s="1121">
        <v>184</v>
      </c>
      <c r="G6" s="1121" t="s">
        <v>2519</v>
      </c>
      <c r="H6" s="1121">
        <v>11</v>
      </c>
      <c r="I6" s="1729" t="s">
        <v>2571</v>
      </c>
    </row>
    <row r="7" spans="1:9" ht="24">
      <c r="A7" s="1792" t="s">
        <v>2613</v>
      </c>
      <c r="B7" s="627" t="s">
        <v>2516</v>
      </c>
      <c r="C7" s="1121">
        <v>1330038</v>
      </c>
      <c r="D7" s="1121">
        <v>30900409</v>
      </c>
      <c r="E7" s="1121">
        <v>1265941</v>
      </c>
      <c r="F7" s="1121">
        <v>28280781</v>
      </c>
      <c r="G7" s="1121">
        <v>1487035</v>
      </c>
      <c r="H7" s="1121">
        <v>47334417</v>
      </c>
      <c r="I7" s="1729" t="s">
        <v>2570</v>
      </c>
    </row>
    <row r="8" spans="1:9" ht="24">
      <c r="A8" s="1791" t="s">
        <v>2205</v>
      </c>
      <c r="B8" s="627" t="s">
        <v>2516</v>
      </c>
      <c r="C8" s="1121">
        <v>19</v>
      </c>
      <c r="D8" s="1121">
        <v>1240</v>
      </c>
      <c r="E8" s="1121">
        <v>9</v>
      </c>
      <c r="F8" s="1121">
        <v>476</v>
      </c>
      <c r="G8" s="1121">
        <v>18</v>
      </c>
      <c r="H8" s="1121">
        <v>1233</v>
      </c>
      <c r="I8" s="1729" t="s">
        <v>2205</v>
      </c>
    </row>
    <row r="9" spans="1:9" ht="24">
      <c r="A9" s="1791" t="s">
        <v>2614</v>
      </c>
      <c r="B9" s="627" t="s">
        <v>2516</v>
      </c>
      <c r="C9" s="1121" t="s">
        <v>110</v>
      </c>
      <c r="D9" s="1121" t="s">
        <v>110</v>
      </c>
      <c r="E9" s="1121" t="s">
        <v>110</v>
      </c>
      <c r="F9" s="1121" t="s">
        <v>110</v>
      </c>
      <c r="G9" s="1121" t="s">
        <v>110</v>
      </c>
      <c r="H9" s="1121" t="s">
        <v>110</v>
      </c>
      <c r="I9" s="1729" t="s">
        <v>2569</v>
      </c>
    </row>
    <row r="10" spans="1:9" ht="24">
      <c r="A10" s="1792" t="s">
        <v>2615</v>
      </c>
      <c r="B10" s="627" t="s">
        <v>2516</v>
      </c>
      <c r="C10" s="1121" t="s">
        <v>2519</v>
      </c>
      <c r="D10" s="1121">
        <v>69</v>
      </c>
      <c r="E10" s="1121">
        <v>277</v>
      </c>
      <c r="F10" s="1121">
        <v>1697</v>
      </c>
      <c r="G10" s="1121">
        <v>51</v>
      </c>
      <c r="H10" s="1121">
        <v>505</v>
      </c>
      <c r="I10" s="1729" t="s">
        <v>2568</v>
      </c>
    </row>
    <row r="11" spans="1:9" ht="24">
      <c r="A11" s="1791" t="s">
        <v>2616</v>
      </c>
      <c r="B11" s="627" t="s">
        <v>2516</v>
      </c>
      <c r="C11" s="1121">
        <v>1001</v>
      </c>
      <c r="D11" s="1121">
        <v>31011</v>
      </c>
      <c r="E11" s="1121">
        <v>299</v>
      </c>
      <c r="F11" s="1121">
        <v>11991</v>
      </c>
      <c r="G11" s="1121">
        <v>1906</v>
      </c>
      <c r="H11" s="1121">
        <v>68026</v>
      </c>
      <c r="I11" s="1729" t="s">
        <v>2219</v>
      </c>
    </row>
    <row r="12" spans="1:9" ht="24">
      <c r="A12" s="1791" t="s">
        <v>2617</v>
      </c>
      <c r="B12" s="627" t="s">
        <v>2516</v>
      </c>
      <c r="C12" s="1121">
        <v>153658</v>
      </c>
      <c r="D12" s="1121">
        <v>398714</v>
      </c>
      <c r="E12" s="1121">
        <v>170915</v>
      </c>
      <c r="F12" s="1121">
        <v>410109</v>
      </c>
      <c r="G12" s="1121">
        <v>266680</v>
      </c>
      <c r="H12" s="1121">
        <v>664037</v>
      </c>
      <c r="I12" s="1729" t="s">
        <v>2567</v>
      </c>
    </row>
    <row r="13" spans="1:9" ht="24">
      <c r="A13" s="1792" t="s">
        <v>2618</v>
      </c>
      <c r="B13" s="627" t="s">
        <v>2516</v>
      </c>
      <c r="C13" s="1121">
        <v>2221693</v>
      </c>
      <c r="D13" s="1121">
        <v>12896670</v>
      </c>
      <c r="E13" s="1121">
        <v>1010894</v>
      </c>
      <c r="F13" s="1121">
        <v>6261470</v>
      </c>
      <c r="G13" s="1121">
        <v>1874837</v>
      </c>
      <c r="H13" s="1121">
        <v>11075666</v>
      </c>
      <c r="I13" s="1729" t="s">
        <v>2223</v>
      </c>
    </row>
    <row r="14" spans="1:9" ht="24">
      <c r="A14" s="1791" t="s">
        <v>2619</v>
      </c>
      <c r="B14" s="627" t="s">
        <v>2516</v>
      </c>
      <c r="C14" s="1121">
        <v>524229</v>
      </c>
      <c r="D14" s="1121">
        <v>1421269</v>
      </c>
      <c r="E14" s="1121">
        <v>240841</v>
      </c>
      <c r="F14" s="1121">
        <v>951442</v>
      </c>
      <c r="G14" s="1121">
        <v>378081</v>
      </c>
      <c r="H14" s="1121">
        <v>1005256</v>
      </c>
      <c r="I14" s="1729" t="s">
        <v>2225</v>
      </c>
    </row>
    <row r="15" spans="1:9" ht="24">
      <c r="A15" s="1791" t="s">
        <v>2620</v>
      </c>
      <c r="B15" s="627" t="s">
        <v>2516</v>
      </c>
      <c r="C15" s="1121">
        <v>1647485</v>
      </c>
      <c r="D15" s="1121">
        <v>5674970</v>
      </c>
      <c r="E15" s="1121">
        <v>1557484</v>
      </c>
      <c r="F15" s="1121">
        <v>5215656</v>
      </c>
      <c r="G15" s="1121">
        <v>1585962</v>
      </c>
      <c r="H15" s="1121">
        <v>5850483</v>
      </c>
      <c r="I15" s="1729" t="s">
        <v>2227</v>
      </c>
    </row>
    <row r="16" spans="1:9" ht="24">
      <c r="A16" s="1792" t="s">
        <v>2621</v>
      </c>
      <c r="B16" s="627" t="s">
        <v>2516</v>
      </c>
      <c r="C16" s="1121">
        <v>2977</v>
      </c>
      <c r="D16" s="1121">
        <v>359860</v>
      </c>
      <c r="E16" s="1121">
        <v>2996</v>
      </c>
      <c r="F16" s="1121">
        <v>414601</v>
      </c>
      <c r="G16" s="1121">
        <v>4725</v>
      </c>
      <c r="H16" s="1121">
        <v>656472</v>
      </c>
      <c r="I16" s="1729" t="s">
        <v>2229</v>
      </c>
    </row>
    <row r="17" spans="1:9" ht="24">
      <c r="A17" s="1791" t="s">
        <v>2622</v>
      </c>
      <c r="B17" s="627" t="s">
        <v>2516</v>
      </c>
      <c r="C17" s="1121">
        <v>12612479</v>
      </c>
      <c r="D17" s="1121">
        <v>15692854</v>
      </c>
      <c r="E17" s="1121">
        <v>13134116</v>
      </c>
      <c r="F17" s="1121">
        <v>24200968</v>
      </c>
      <c r="G17" s="1121">
        <v>13295779</v>
      </c>
      <c r="H17" s="1121">
        <v>24912268</v>
      </c>
      <c r="I17" s="1729" t="s">
        <v>2566</v>
      </c>
    </row>
    <row r="18" spans="1:9" ht="24">
      <c r="A18" s="1791" t="s">
        <v>2623</v>
      </c>
      <c r="B18" s="627" t="s">
        <v>2516</v>
      </c>
      <c r="C18" s="1121">
        <v>36433</v>
      </c>
      <c r="D18" s="1121">
        <v>273950</v>
      </c>
      <c r="E18" s="1121">
        <v>23867</v>
      </c>
      <c r="F18" s="1121">
        <v>155049</v>
      </c>
      <c r="G18" s="1121">
        <v>24789</v>
      </c>
      <c r="H18" s="1121">
        <v>163372</v>
      </c>
      <c r="I18" s="1729" t="s">
        <v>2231</v>
      </c>
    </row>
    <row r="19" spans="1:9" ht="24">
      <c r="A19" s="1792" t="s">
        <v>2624</v>
      </c>
      <c r="B19" s="627" t="s">
        <v>2516</v>
      </c>
      <c r="C19" s="1121">
        <v>1317</v>
      </c>
      <c r="D19" s="1121">
        <v>8022</v>
      </c>
      <c r="E19" s="1121">
        <v>1104</v>
      </c>
      <c r="F19" s="1121">
        <v>6155</v>
      </c>
      <c r="G19" s="1121">
        <v>1129</v>
      </c>
      <c r="H19" s="1121">
        <v>7557</v>
      </c>
      <c r="I19" s="1729" t="s">
        <v>2233</v>
      </c>
    </row>
    <row r="20" spans="1:9" ht="24">
      <c r="A20" s="1791" t="s">
        <v>2625</v>
      </c>
      <c r="B20" s="627" t="s">
        <v>2516</v>
      </c>
      <c r="C20" s="1121">
        <v>33898</v>
      </c>
      <c r="D20" s="1121">
        <v>867910</v>
      </c>
      <c r="E20" s="1121">
        <v>2872</v>
      </c>
      <c r="F20" s="1121">
        <v>71979</v>
      </c>
      <c r="G20" s="1121">
        <v>2625</v>
      </c>
      <c r="H20" s="1121">
        <v>89710</v>
      </c>
      <c r="I20" s="1729" t="s">
        <v>2237</v>
      </c>
    </row>
    <row r="21" spans="1:9" ht="24">
      <c r="A21" s="1791" t="s">
        <v>2626</v>
      </c>
      <c r="B21" s="627" t="s">
        <v>2516</v>
      </c>
      <c r="C21" s="1121">
        <v>50365</v>
      </c>
      <c r="D21" s="1121">
        <v>476744</v>
      </c>
      <c r="E21" s="1121">
        <v>45346</v>
      </c>
      <c r="F21" s="1121">
        <v>402787</v>
      </c>
      <c r="G21" s="1121">
        <v>49635</v>
      </c>
      <c r="H21" s="1121">
        <v>361745</v>
      </c>
      <c r="I21" s="1729" t="s">
        <v>2565</v>
      </c>
    </row>
    <row r="22" spans="1:9" ht="24">
      <c r="A22" s="1792" t="s">
        <v>2627</v>
      </c>
      <c r="B22" s="627" t="s">
        <v>2536</v>
      </c>
      <c r="C22" s="1121">
        <v>1045</v>
      </c>
      <c r="D22" s="1121">
        <v>5929549</v>
      </c>
      <c r="E22" s="1121">
        <v>2943</v>
      </c>
      <c r="F22" s="1121">
        <v>5736794</v>
      </c>
      <c r="G22" s="1121">
        <v>1314</v>
      </c>
      <c r="H22" s="1121">
        <v>11233701</v>
      </c>
      <c r="I22" s="1729" t="s">
        <v>2564</v>
      </c>
    </row>
    <row r="23" spans="1:9" ht="24">
      <c r="A23" s="1791" t="s">
        <v>2628</v>
      </c>
      <c r="B23" s="627" t="s">
        <v>2516</v>
      </c>
      <c r="C23" s="1121" t="s">
        <v>110</v>
      </c>
      <c r="D23" s="1121" t="s">
        <v>110</v>
      </c>
      <c r="E23" s="1121" t="s">
        <v>110</v>
      </c>
      <c r="F23" s="1121" t="s">
        <v>110</v>
      </c>
      <c r="G23" s="1121" t="s">
        <v>2519</v>
      </c>
      <c r="H23" s="1121">
        <v>2</v>
      </c>
      <c r="I23" s="1729" t="s">
        <v>2563</v>
      </c>
    </row>
    <row r="24" spans="1:9" ht="24">
      <c r="A24" s="1791" t="s">
        <v>2629</v>
      </c>
      <c r="B24" s="627" t="s">
        <v>2536</v>
      </c>
      <c r="C24" s="1121">
        <v>3</v>
      </c>
      <c r="D24" s="1121">
        <v>319838</v>
      </c>
      <c r="E24" s="1121">
        <v>2</v>
      </c>
      <c r="F24" s="1121">
        <v>234709</v>
      </c>
      <c r="G24" s="1121">
        <v>1</v>
      </c>
      <c r="H24" s="1121">
        <v>203336</v>
      </c>
      <c r="I24" s="1729" t="s">
        <v>2562</v>
      </c>
    </row>
    <row r="25" spans="1:9" ht="24">
      <c r="A25" s="1792" t="s">
        <v>2630</v>
      </c>
      <c r="B25" s="627" t="s">
        <v>2516</v>
      </c>
      <c r="C25" s="1121">
        <v>2</v>
      </c>
      <c r="D25" s="1121">
        <v>9478</v>
      </c>
      <c r="E25" s="1121" t="s">
        <v>110</v>
      </c>
      <c r="F25" s="1121" t="s">
        <v>110</v>
      </c>
      <c r="G25" s="1121" t="s">
        <v>110</v>
      </c>
      <c r="H25" s="1121" t="s">
        <v>110</v>
      </c>
      <c r="I25" s="1729" t="s">
        <v>2561</v>
      </c>
    </row>
    <row r="26" spans="1:9" ht="24">
      <c r="A26" s="1791" t="s">
        <v>2631</v>
      </c>
      <c r="B26" s="627" t="s">
        <v>2516</v>
      </c>
      <c r="C26" s="1121">
        <v>111507</v>
      </c>
      <c r="D26" s="1121">
        <v>2383337</v>
      </c>
      <c r="E26" s="1121">
        <v>207412</v>
      </c>
      <c r="F26" s="1121">
        <v>4771075</v>
      </c>
      <c r="G26" s="1121">
        <v>1299461</v>
      </c>
      <c r="H26" s="1121">
        <v>41017403</v>
      </c>
      <c r="I26" s="1729" t="s">
        <v>2560</v>
      </c>
    </row>
    <row r="27" spans="1:9" ht="24">
      <c r="A27" s="1791" t="s">
        <v>2632</v>
      </c>
      <c r="B27" s="627" t="s">
        <v>2516</v>
      </c>
      <c r="C27" s="1121">
        <v>212659</v>
      </c>
      <c r="D27" s="1121">
        <v>20450948</v>
      </c>
      <c r="E27" s="1121">
        <v>82463</v>
      </c>
      <c r="F27" s="1121">
        <v>7689376</v>
      </c>
      <c r="G27" s="1121">
        <v>34827</v>
      </c>
      <c r="H27" s="1121">
        <v>3964549</v>
      </c>
      <c r="I27" s="1729" t="s">
        <v>2559</v>
      </c>
    </row>
    <row r="28" spans="1:9" ht="24">
      <c r="A28" s="1792" t="s">
        <v>2633</v>
      </c>
      <c r="B28" s="627" t="s">
        <v>2516</v>
      </c>
      <c r="C28" s="1121" t="s">
        <v>110</v>
      </c>
      <c r="D28" s="1121" t="s">
        <v>110</v>
      </c>
      <c r="E28" s="1121">
        <v>62</v>
      </c>
      <c r="F28" s="1121">
        <v>137</v>
      </c>
      <c r="G28" s="1121">
        <v>89</v>
      </c>
      <c r="H28" s="1121">
        <v>241</v>
      </c>
      <c r="I28" s="1729" t="s">
        <v>2558</v>
      </c>
    </row>
    <row r="29" spans="1:9" ht="24">
      <c r="A29" s="1791" t="s">
        <v>2634</v>
      </c>
      <c r="B29" s="627"/>
      <c r="C29" s="1121" t="s">
        <v>2515</v>
      </c>
      <c r="D29" s="1121">
        <v>1400336074</v>
      </c>
      <c r="E29" s="1121" t="s">
        <v>2515</v>
      </c>
      <c r="F29" s="1121">
        <v>1258209200</v>
      </c>
      <c r="G29" s="1121" t="s">
        <v>2515</v>
      </c>
      <c r="H29" s="1121">
        <v>1893641728</v>
      </c>
      <c r="I29" s="1729" t="s">
        <v>2249</v>
      </c>
    </row>
    <row r="30" spans="1:9" ht="24">
      <c r="A30" s="1791" t="s">
        <v>2635</v>
      </c>
      <c r="B30" s="627" t="s">
        <v>2516</v>
      </c>
      <c r="C30" s="1121">
        <v>4302</v>
      </c>
      <c r="D30" s="1121">
        <v>72842</v>
      </c>
      <c r="E30" s="1121">
        <v>3240</v>
      </c>
      <c r="F30" s="1121">
        <v>69439</v>
      </c>
      <c r="G30" s="1121">
        <v>1964</v>
      </c>
      <c r="H30" s="1121">
        <v>58544</v>
      </c>
      <c r="I30" s="1729" t="s">
        <v>2253</v>
      </c>
    </row>
    <row r="31" spans="1:9" ht="24.75" thickBot="1">
      <c r="A31" s="1794" t="s">
        <v>2636</v>
      </c>
      <c r="B31" s="1614" t="s">
        <v>2516</v>
      </c>
      <c r="C31" s="1615">
        <v>91431</v>
      </c>
      <c r="D31" s="1615">
        <v>349684</v>
      </c>
      <c r="E31" s="1615">
        <v>95892</v>
      </c>
      <c r="F31" s="1615">
        <v>349090</v>
      </c>
      <c r="G31" s="1615">
        <v>113380</v>
      </c>
      <c r="H31" s="1615">
        <v>391843</v>
      </c>
      <c r="I31" s="1788" t="s">
        <v>2255</v>
      </c>
    </row>
    <row r="32" spans="1:9" ht="24.75" thickTop="1">
      <c r="A32" s="1793" t="s">
        <v>2637</v>
      </c>
      <c r="B32" s="1688" t="s">
        <v>2516</v>
      </c>
      <c r="C32" s="1689">
        <v>2652</v>
      </c>
      <c r="D32" s="1689">
        <v>18037</v>
      </c>
      <c r="E32" s="1689">
        <v>3881</v>
      </c>
      <c r="F32" s="1689">
        <v>22220</v>
      </c>
      <c r="G32" s="1689">
        <v>3775</v>
      </c>
      <c r="H32" s="1689">
        <v>53782</v>
      </c>
      <c r="I32" s="1790" t="s">
        <v>2557</v>
      </c>
    </row>
    <row r="33" spans="1:9" ht="24">
      <c r="A33" s="1791" t="s">
        <v>2638</v>
      </c>
      <c r="B33" s="627"/>
      <c r="C33" s="1121" t="s">
        <v>2515</v>
      </c>
      <c r="D33" s="1121">
        <v>17387875</v>
      </c>
      <c r="E33" s="1121" t="s">
        <v>2515</v>
      </c>
      <c r="F33" s="1121">
        <v>5316603</v>
      </c>
      <c r="G33" s="1121" t="s">
        <v>2515</v>
      </c>
      <c r="H33" s="1121">
        <v>10808861</v>
      </c>
      <c r="I33" s="1729" t="s">
        <v>2556</v>
      </c>
    </row>
    <row r="34" spans="1:9" ht="24">
      <c r="A34" s="1792" t="s">
        <v>2639</v>
      </c>
      <c r="B34" s="627"/>
      <c r="C34" s="1121" t="s">
        <v>2515</v>
      </c>
      <c r="D34" s="1121">
        <v>203185</v>
      </c>
      <c r="E34" s="1121" t="s">
        <v>2515</v>
      </c>
      <c r="F34" s="1121">
        <v>198059</v>
      </c>
      <c r="G34" s="1121" t="s">
        <v>2515</v>
      </c>
      <c r="H34" s="1121">
        <v>254062</v>
      </c>
      <c r="I34" s="1729" t="s">
        <v>2555</v>
      </c>
    </row>
    <row r="35" spans="1:9" ht="24">
      <c r="A35" s="1791" t="s">
        <v>2640</v>
      </c>
      <c r="B35" s="627" t="s">
        <v>2516</v>
      </c>
      <c r="C35" s="1121">
        <v>640709</v>
      </c>
      <c r="D35" s="1121">
        <v>3225696</v>
      </c>
      <c r="E35" s="1121">
        <v>705280</v>
      </c>
      <c r="F35" s="1121">
        <v>3931135</v>
      </c>
      <c r="G35" s="1121">
        <v>763219</v>
      </c>
      <c r="H35" s="1121">
        <v>4194510</v>
      </c>
      <c r="I35" s="1729" t="s">
        <v>2554</v>
      </c>
    </row>
    <row r="36" spans="1:9" ht="24">
      <c r="A36" s="1791" t="s">
        <v>2641</v>
      </c>
      <c r="B36" s="627" t="s">
        <v>2516</v>
      </c>
      <c r="C36" s="1121">
        <v>5172</v>
      </c>
      <c r="D36" s="1121">
        <v>41898</v>
      </c>
      <c r="E36" s="1121">
        <v>5324</v>
      </c>
      <c r="F36" s="1121">
        <v>43606</v>
      </c>
      <c r="G36" s="1121">
        <v>4473</v>
      </c>
      <c r="H36" s="1121">
        <v>45578</v>
      </c>
      <c r="I36" s="1729" t="s">
        <v>2553</v>
      </c>
    </row>
    <row r="37" spans="1:9" ht="24">
      <c r="A37" s="1792" t="s">
        <v>2642</v>
      </c>
      <c r="B37" s="627" t="s">
        <v>2516</v>
      </c>
      <c r="C37" s="1121">
        <v>1195</v>
      </c>
      <c r="D37" s="1121">
        <v>8014</v>
      </c>
      <c r="E37" s="1121">
        <v>406</v>
      </c>
      <c r="F37" s="1121">
        <v>2953</v>
      </c>
      <c r="G37" s="1121">
        <v>570</v>
      </c>
      <c r="H37" s="1121">
        <v>5837</v>
      </c>
      <c r="I37" s="1729" t="s">
        <v>2552</v>
      </c>
    </row>
    <row r="38" spans="1:9" ht="24">
      <c r="A38" s="1791" t="s">
        <v>2551</v>
      </c>
      <c r="B38" s="627" t="s">
        <v>2516</v>
      </c>
      <c r="C38" s="1121">
        <v>1368</v>
      </c>
      <c r="D38" s="1121">
        <v>51562</v>
      </c>
      <c r="E38" s="1121">
        <v>474</v>
      </c>
      <c r="F38" s="1121">
        <v>22436</v>
      </c>
      <c r="G38" s="1121">
        <v>844</v>
      </c>
      <c r="H38" s="1121">
        <v>43463</v>
      </c>
      <c r="I38" s="1729" t="s">
        <v>2551</v>
      </c>
    </row>
    <row r="39" spans="1:9" ht="24">
      <c r="A39" s="1791" t="s">
        <v>2643</v>
      </c>
      <c r="B39" s="627"/>
      <c r="C39" s="1121" t="s">
        <v>2515</v>
      </c>
      <c r="D39" s="1121">
        <v>366806</v>
      </c>
      <c r="E39" s="1121" t="s">
        <v>2515</v>
      </c>
      <c r="F39" s="1121">
        <v>280824</v>
      </c>
      <c r="G39" s="1121" t="s">
        <v>2515</v>
      </c>
      <c r="H39" s="1121">
        <v>378455</v>
      </c>
      <c r="I39" s="1729" t="s">
        <v>2550</v>
      </c>
    </row>
    <row r="40" spans="1:9" ht="24">
      <c r="A40" s="1792" t="s">
        <v>2644</v>
      </c>
      <c r="B40" s="627" t="s">
        <v>2516</v>
      </c>
      <c r="C40" s="1121">
        <v>74697</v>
      </c>
      <c r="D40" s="1121">
        <v>1254539</v>
      </c>
      <c r="E40" s="1121">
        <v>76799</v>
      </c>
      <c r="F40" s="1121">
        <v>1265586</v>
      </c>
      <c r="G40" s="1121">
        <v>81270</v>
      </c>
      <c r="H40" s="1121">
        <v>1433741</v>
      </c>
      <c r="I40" s="1729" t="s">
        <v>2549</v>
      </c>
    </row>
    <row r="41" spans="1:9" ht="24">
      <c r="A41" s="1791" t="s">
        <v>2645</v>
      </c>
      <c r="B41" s="627" t="s">
        <v>2516</v>
      </c>
      <c r="C41" s="1121">
        <v>6678131</v>
      </c>
      <c r="D41" s="1121">
        <v>102248504</v>
      </c>
      <c r="E41" s="1121">
        <v>7522159</v>
      </c>
      <c r="F41" s="1121">
        <v>113279766</v>
      </c>
      <c r="G41" s="1121">
        <v>7572368</v>
      </c>
      <c r="H41" s="1121">
        <v>126460352</v>
      </c>
      <c r="I41" s="1729" t="s">
        <v>2548</v>
      </c>
    </row>
    <row r="42" spans="1:9" ht="24">
      <c r="A42" s="1791" t="s">
        <v>2646</v>
      </c>
      <c r="B42" s="627" t="s">
        <v>2516</v>
      </c>
      <c r="C42" s="1121">
        <v>607</v>
      </c>
      <c r="D42" s="1121">
        <v>32629</v>
      </c>
      <c r="E42" s="1121">
        <v>716</v>
      </c>
      <c r="F42" s="1121">
        <v>42994</v>
      </c>
      <c r="G42" s="1121">
        <v>764</v>
      </c>
      <c r="H42" s="1121">
        <v>46963</v>
      </c>
      <c r="I42" s="1729" t="s">
        <v>2547</v>
      </c>
    </row>
    <row r="43" spans="1:9" ht="24">
      <c r="A43" s="1792" t="s">
        <v>2647</v>
      </c>
      <c r="B43" s="627" t="s">
        <v>2516</v>
      </c>
      <c r="C43" s="1121">
        <v>151722</v>
      </c>
      <c r="D43" s="1121">
        <v>578922</v>
      </c>
      <c r="E43" s="1121">
        <v>213061</v>
      </c>
      <c r="F43" s="1121">
        <v>723888</v>
      </c>
      <c r="G43" s="1121">
        <v>220634</v>
      </c>
      <c r="H43" s="1121">
        <v>765738</v>
      </c>
      <c r="I43" s="1729" t="s">
        <v>2289</v>
      </c>
    </row>
    <row r="44" spans="1:9" ht="24">
      <c r="A44" s="1791" t="s">
        <v>2648</v>
      </c>
      <c r="B44" s="627" t="s">
        <v>2536</v>
      </c>
      <c r="C44" s="1121">
        <v>36625</v>
      </c>
      <c r="D44" s="1121">
        <v>186092710</v>
      </c>
      <c r="E44" s="1121">
        <v>57723</v>
      </c>
      <c r="F44" s="1121">
        <v>362556021</v>
      </c>
      <c r="G44" s="1121">
        <v>26494</v>
      </c>
      <c r="H44" s="1121">
        <v>241480427</v>
      </c>
      <c r="I44" s="1729" t="s">
        <v>2546</v>
      </c>
    </row>
    <row r="45" spans="1:9" ht="24">
      <c r="A45" s="1791" t="s">
        <v>2545</v>
      </c>
      <c r="B45" s="627" t="s">
        <v>2516</v>
      </c>
      <c r="C45" s="1121">
        <v>431536</v>
      </c>
      <c r="D45" s="1121">
        <v>1929478</v>
      </c>
      <c r="E45" s="1121">
        <v>287260</v>
      </c>
      <c r="F45" s="1121">
        <v>1610489</v>
      </c>
      <c r="G45" s="1121">
        <v>339591</v>
      </c>
      <c r="H45" s="1121">
        <v>2398327</v>
      </c>
      <c r="I45" s="1729" t="s">
        <v>2545</v>
      </c>
    </row>
    <row r="46" spans="1:9" ht="24">
      <c r="A46" s="1792" t="s">
        <v>2544</v>
      </c>
      <c r="B46" s="627" t="s">
        <v>2516</v>
      </c>
      <c r="C46" s="1121">
        <v>113</v>
      </c>
      <c r="D46" s="1121">
        <v>2399</v>
      </c>
      <c r="E46" s="1121">
        <v>27</v>
      </c>
      <c r="F46" s="1121">
        <v>917</v>
      </c>
      <c r="G46" s="1121">
        <v>28</v>
      </c>
      <c r="H46" s="1121">
        <v>516</v>
      </c>
      <c r="I46" s="1729" t="s">
        <v>2544</v>
      </c>
    </row>
    <row r="47" spans="1:9" ht="24">
      <c r="A47" s="1791" t="s">
        <v>2649</v>
      </c>
      <c r="B47" s="627" t="s">
        <v>2516</v>
      </c>
      <c r="C47" s="1121">
        <v>143</v>
      </c>
      <c r="D47" s="1121">
        <v>2627</v>
      </c>
      <c r="E47" s="1121">
        <v>252</v>
      </c>
      <c r="F47" s="1121">
        <v>9033</v>
      </c>
      <c r="G47" s="1121">
        <v>1655</v>
      </c>
      <c r="H47" s="1121">
        <v>15376</v>
      </c>
      <c r="I47" s="1729" t="s">
        <v>2295</v>
      </c>
    </row>
    <row r="48" spans="1:9" ht="24">
      <c r="A48" s="1791" t="s">
        <v>2650</v>
      </c>
      <c r="B48" s="627" t="s">
        <v>2516</v>
      </c>
      <c r="C48" s="1121">
        <v>3</v>
      </c>
      <c r="D48" s="1121">
        <v>202</v>
      </c>
      <c r="E48" s="1121">
        <v>9</v>
      </c>
      <c r="F48" s="1121">
        <v>1076</v>
      </c>
      <c r="G48" s="1121">
        <v>12</v>
      </c>
      <c r="H48" s="1121">
        <v>1595</v>
      </c>
      <c r="I48" s="1729" t="s">
        <v>2543</v>
      </c>
    </row>
    <row r="49" spans="1:9" ht="24">
      <c r="A49" s="1792" t="s">
        <v>2651</v>
      </c>
      <c r="B49" s="627" t="s">
        <v>2516</v>
      </c>
      <c r="C49" s="1121">
        <v>3760402</v>
      </c>
      <c r="D49" s="1121">
        <v>4656567</v>
      </c>
      <c r="E49" s="1121">
        <v>3528973</v>
      </c>
      <c r="F49" s="1121">
        <v>42939083</v>
      </c>
      <c r="G49" s="1121">
        <v>12160342</v>
      </c>
      <c r="H49" s="1121">
        <v>4551537</v>
      </c>
      <c r="I49" s="1729" t="s">
        <v>2307</v>
      </c>
    </row>
    <row r="50" spans="1:9" ht="24">
      <c r="A50" s="1791" t="s">
        <v>2652</v>
      </c>
      <c r="B50" s="627" t="s">
        <v>2516</v>
      </c>
      <c r="C50" s="1121">
        <v>5453</v>
      </c>
      <c r="D50" s="1121">
        <v>147073</v>
      </c>
      <c r="E50" s="1121">
        <v>5477</v>
      </c>
      <c r="F50" s="1121">
        <v>171020</v>
      </c>
      <c r="G50" s="1121">
        <v>5384</v>
      </c>
      <c r="H50" s="1121">
        <v>173809</v>
      </c>
      <c r="I50" s="1729" t="s">
        <v>2309</v>
      </c>
    </row>
    <row r="51" spans="1:9" ht="24">
      <c r="A51" s="1791" t="s">
        <v>2653</v>
      </c>
      <c r="B51" s="627" t="s">
        <v>2516</v>
      </c>
      <c r="C51" s="1121">
        <v>58198</v>
      </c>
      <c r="D51" s="1121">
        <v>254643</v>
      </c>
      <c r="E51" s="1121">
        <v>82363</v>
      </c>
      <c r="F51" s="1121">
        <v>974940</v>
      </c>
      <c r="G51" s="1121">
        <v>113606</v>
      </c>
      <c r="H51" s="1121">
        <v>588189</v>
      </c>
      <c r="I51" s="1729" t="s">
        <v>2311</v>
      </c>
    </row>
    <row r="52" spans="1:9" ht="24">
      <c r="A52" s="1792" t="s">
        <v>2654</v>
      </c>
      <c r="B52" s="627" t="s">
        <v>2516</v>
      </c>
      <c r="C52" s="1121">
        <v>310613</v>
      </c>
      <c r="D52" s="1121">
        <v>9010909</v>
      </c>
      <c r="E52" s="1121">
        <v>295085</v>
      </c>
      <c r="F52" s="1121">
        <v>10082272</v>
      </c>
      <c r="G52" s="1121">
        <v>324267</v>
      </c>
      <c r="H52" s="1121">
        <v>11352007</v>
      </c>
      <c r="I52" s="1729" t="s">
        <v>2313</v>
      </c>
    </row>
    <row r="53" spans="1:9" ht="24">
      <c r="A53" s="1791" t="s">
        <v>2655</v>
      </c>
      <c r="B53" s="627" t="s">
        <v>2516</v>
      </c>
      <c r="C53" s="1121">
        <v>116854</v>
      </c>
      <c r="D53" s="1121">
        <v>4909143</v>
      </c>
      <c r="E53" s="1121">
        <v>144121</v>
      </c>
      <c r="F53" s="1121">
        <v>5733785</v>
      </c>
      <c r="G53" s="1121">
        <v>151706</v>
      </c>
      <c r="H53" s="1121">
        <v>6594832</v>
      </c>
      <c r="I53" s="1729" t="s">
        <v>2317</v>
      </c>
    </row>
    <row r="54" spans="1:9" ht="24">
      <c r="A54" s="1791" t="s">
        <v>2656</v>
      </c>
      <c r="B54" s="627" t="s">
        <v>2516</v>
      </c>
      <c r="C54" s="1121">
        <v>3</v>
      </c>
      <c r="D54" s="1121">
        <v>3023</v>
      </c>
      <c r="E54" s="1121">
        <v>45</v>
      </c>
      <c r="F54" s="1121">
        <v>43181</v>
      </c>
      <c r="G54" s="1121" t="s">
        <v>2519</v>
      </c>
      <c r="H54" s="1121">
        <v>120</v>
      </c>
      <c r="I54" s="1729" t="s">
        <v>2542</v>
      </c>
    </row>
    <row r="55" spans="1:9" ht="24">
      <c r="A55" s="1792" t="s">
        <v>2657</v>
      </c>
      <c r="B55" s="627" t="s">
        <v>2516</v>
      </c>
      <c r="C55" s="1121">
        <v>52408</v>
      </c>
      <c r="D55" s="1121">
        <v>2202387</v>
      </c>
      <c r="E55" s="1121">
        <v>17992</v>
      </c>
      <c r="F55" s="1121">
        <v>658242</v>
      </c>
      <c r="G55" s="1121">
        <v>3</v>
      </c>
      <c r="H55" s="1121">
        <v>883</v>
      </c>
      <c r="I55" s="1729" t="s">
        <v>2541</v>
      </c>
    </row>
    <row r="56" spans="1:9" ht="24">
      <c r="A56" s="1791" t="s">
        <v>2658</v>
      </c>
      <c r="B56" s="627" t="s">
        <v>2516</v>
      </c>
      <c r="C56" s="1121" t="s">
        <v>2519</v>
      </c>
      <c r="D56" s="1121" t="s">
        <v>2519</v>
      </c>
      <c r="E56" s="1121" t="s">
        <v>110</v>
      </c>
      <c r="F56" s="1121" t="s">
        <v>110</v>
      </c>
      <c r="G56" s="1121">
        <v>20</v>
      </c>
      <c r="H56" s="1121">
        <v>5183</v>
      </c>
      <c r="I56" s="1729" t="s">
        <v>2540</v>
      </c>
    </row>
    <row r="57" spans="1:9" ht="24">
      <c r="A57" s="1791" t="s">
        <v>2659</v>
      </c>
      <c r="B57" s="627" t="s">
        <v>2516</v>
      </c>
      <c r="C57" s="1121">
        <v>361</v>
      </c>
      <c r="D57" s="1121">
        <v>943</v>
      </c>
      <c r="E57" s="1121" t="s">
        <v>2519</v>
      </c>
      <c r="F57" s="1121">
        <v>217</v>
      </c>
      <c r="G57" s="1121" t="s">
        <v>2519</v>
      </c>
      <c r="H57" s="1121">
        <v>18</v>
      </c>
      <c r="I57" s="1729" t="s">
        <v>2539</v>
      </c>
    </row>
    <row r="58" spans="1:9" ht="24">
      <c r="A58" s="1792" t="s">
        <v>2660</v>
      </c>
      <c r="B58" s="627" t="s">
        <v>2516</v>
      </c>
      <c r="C58" s="1121">
        <v>2934</v>
      </c>
      <c r="D58" s="1121">
        <v>72045</v>
      </c>
      <c r="E58" s="1121">
        <v>4126</v>
      </c>
      <c r="F58" s="1121">
        <v>71626</v>
      </c>
      <c r="G58" s="1121">
        <v>6085</v>
      </c>
      <c r="H58" s="1121">
        <v>103351</v>
      </c>
      <c r="I58" s="1729" t="s">
        <v>2325</v>
      </c>
    </row>
    <row r="59" spans="1:9" ht="24">
      <c r="A59" s="1791" t="s">
        <v>2661</v>
      </c>
      <c r="B59" s="627" t="s">
        <v>2516</v>
      </c>
      <c r="C59" s="1121">
        <v>3643829</v>
      </c>
      <c r="D59" s="1121">
        <v>4587040</v>
      </c>
      <c r="E59" s="1121">
        <v>3842874</v>
      </c>
      <c r="F59" s="1121">
        <v>4244574</v>
      </c>
      <c r="G59" s="1121">
        <v>3419980</v>
      </c>
      <c r="H59" s="1121">
        <v>5523312</v>
      </c>
      <c r="I59" s="1729" t="s">
        <v>2538</v>
      </c>
    </row>
    <row r="60" spans="1:9" ht="24">
      <c r="A60" s="1791" t="s">
        <v>2663</v>
      </c>
      <c r="B60" s="627"/>
      <c r="C60" s="1121" t="s">
        <v>2515</v>
      </c>
      <c r="D60" s="1121">
        <v>12083066</v>
      </c>
      <c r="E60" s="1121" t="s">
        <v>2515</v>
      </c>
      <c r="F60" s="1121">
        <v>23463605</v>
      </c>
      <c r="G60" s="1121" t="s">
        <v>2515</v>
      </c>
      <c r="H60" s="1121">
        <v>50616826</v>
      </c>
      <c r="I60" s="1729" t="s">
        <v>2535</v>
      </c>
    </row>
    <row r="61" spans="1:9" ht="24.75" thickBot="1">
      <c r="A61" s="1794" t="s">
        <v>2664</v>
      </c>
      <c r="B61" s="1614" t="s">
        <v>2533</v>
      </c>
      <c r="C61" s="1615" t="s">
        <v>110</v>
      </c>
      <c r="D61" s="1615" t="s">
        <v>110</v>
      </c>
      <c r="E61" s="1615">
        <v>260175</v>
      </c>
      <c r="F61" s="1615">
        <v>5435</v>
      </c>
      <c r="G61" s="1615">
        <v>26253</v>
      </c>
      <c r="H61" s="1615">
        <v>1265</v>
      </c>
      <c r="I61" s="1788" t="s">
        <v>2534</v>
      </c>
    </row>
    <row r="62" spans="1:9" ht="24.75" thickTop="1">
      <c r="A62" s="1793" t="s">
        <v>2665</v>
      </c>
      <c r="B62" s="1688" t="s">
        <v>2516</v>
      </c>
      <c r="C62" s="1689">
        <v>944041</v>
      </c>
      <c r="D62" s="1689">
        <v>6087293</v>
      </c>
      <c r="E62" s="1689">
        <v>772127</v>
      </c>
      <c r="F62" s="1689">
        <v>6213690</v>
      </c>
      <c r="G62" s="1689">
        <v>965159</v>
      </c>
      <c r="H62" s="1689">
        <v>7559270</v>
      </c>
      <c r="I62" s="1790" t="s">
        <v>2532</v>
      </c>
    </row>
    <row r="63" spans="1:9" ht="24">
      <c r="A63" s="1791" t="s">
        <v>2666</v>
      </c>
      <c r="B63" s="627" t="s">
        <v>2516</v>
      </c>
      <c r="C63" s="1121">
        <v>257</v>
      </c>
      <c r="D63" s="1121">
        <v>2015</v>
      </c>
      <c r="E63" s="1121">
        <v>825</v>
      </c>
      <c r="F63" s="1121">
        <v>5602</v>
      </c>
      <c r="G63" s="1121">
        <v>540</v>
      </c>
      <c r="H63" s="1121">
        <v>11316</v>
      </c>
      <c r="I63" s="1729" t="s">
        <v>2344</v>
      </c>
    </row>
    <row r="64" spans="1:9" ht="24">
      <c r="A64" s="1792" t="s">
        <v>2667</v>
      </c>
      <c r="B64" s="627" t="s">
        <v>2516</v>
      </c>
      <c r="C64" s="1121">
        <v>11681705</v>
      </c>
      <c r="D64" s="1121">
        <v>13681149</v>
      </c>
      <c r="E64" s="1121">
        <v>8260913</v>
      </c>
      <c r="F64" s="1121">
        <v>10571743</v>
      </c>
      <c r="G64" s="1121">
        <v>8863780</v>
      </c>
      <c r="H64" s="1121">
        <v>13393717</v>
      </c>
      <c r="I64" s="1729" t="s">
        <v>2531</v>
      </c>
    </row>
    <row r="65" spans="1:9" ht="24">
      <c r="A65" s="1791" t="s">
        <v>2668</v>
      </c>
      <c r="B65" s="627" t="s">
        <v>2516</v>
      </c>
      <c r="C65" s="1121">
        <v>1894</v>
      </c>
      <c r="D65" s="1121">
        <v>32610</v>
      </c>
      <c r="E65" s="1121">
        <v>1178</v>
      </c>
      <c r="F65" s="1121">
        <v>13630</v>
      </c>
      <c r="G65" s="1121">
        <v>619</v>
      </c>
      <c r="H65" s="1121">
        <v>17107</v>
      </c>
      <c r="I65" s="1729" t="s">
        <v>2530</v>
      </c>
    </row>
    <row r="66" spans="1:9" ht="24">
      <c r="A66" s="1791" t="s">
        <v>2669</v>
      </c>
      <c r="B66" s="627" t="s">
        <v>2516</v>
      </c>
      <c r="C66" s="1121">
        <v>795763</v>
      </c>
      <c r="D66" s="1121">
        <v>10434171</v>
      </c>
      <c r="E66" s="1121">
        <v>794445</v>
      </c>
      <c r="F66" s="1121">
        <v>11220825</v>
      </c>
      <c r="G66" s="1121">
        <v>691771</v>
      </c>
      <c r="H66" s="1121">
        <v>11282294</v>
      </c>
      <c r="I66" s="1729" t="s">
        <v>2529</v>
      </c>
    </row>
    <row r="67" spans="1:9" ht="24">
      <c r="A67" s="1792" t="s">
        <v>2670</v>
      </c>
      <c r="B67" s="627" t="s">
        <v>2516</v>
      </c>
      <c r="C67" s="1121">
        <v>2391</v>
      </c>
      <c r="D67" s="1121">
        <v>14934</v>
      </c>
      <c r="E67" s="1121">
        <v>43061</v>
      </c>
      <c r="F67" s="1121">
        <v>63008</v>
      </c>
      <c r="G67" s="1121">
        <v>825</v>
      </c>
      <c r="H67" s="1121">
        <v>4928</v>
      </c>
      <c r="I67" s="1729" t="s">
        <v>2528</v>
      </c>
    </row>
    <row r="68" spans="1:9" ht="24">
      <c r="A68" s="1791" t="s">
        <v>2671</v>
      </c>
      <c r="B68" s="627" t="s">
        <v>2516</v>
      </c>
      <c r="C68" s="1121">
        <v>1025</v>
      </c>
      <c r="D68" s="1121">
        <v>14961</v>
      </c>
      <c r="E68" s="1121">
        <v>4998</v>
      </c>
      <c r="F68" s="1121">
        <v>94359</v>
      </c>
      <c r="G68" s="1121">
        <v>3120</v>
      </c>
      <c r="H68" s="1121">
        <v>64355</v>
      </c>
      <c r="I68" s="1729" t="s">
        <v>2354</v>
      </c>
    </row>
    <row r="69" spans="1:9" ht="24">
      <c r="A69" s="1791" t="s">
        <v>2672</v>
      </c>
      <c r="B69" s="627" t="s">
        <v>2516</v>
      </c>
      <c r="C69" s="1121">
        <v>61143</v>
      </c>
      <c r="D69" s="1121">
        <v>1983349</v>
      </c>
      <c r="E69" s="1121">
        <v>66335</v>
      </c>
      <c r="F69" s="1121">
        <v>2453970</v>
      </c>
      <c r="G69" s="1121">
        <v>68569</v>
      </c>
      <c r="H69" s="1121">
        <v>2733090</v>
      </c>
      <c r="I69" s="1729" t="s">
        <v>2358</v>
      </c>
    </row>
    <row r="70" spans="1:9" ht="24">
      <c r="A70" s="1792" t="s">
        <v>2612</v>
      </c>
      <c r="B70" s="627" t="s">
        <v>2516</v>
      </c>
      <c r="C70" s="1121">
        <v>250649</v>
      </c>
      <c r="D70" s="1121">
        <v>3583316</v>
      </c>
      <c r="E70" s="1121">
        <v>283303</v>
      </c>
      <c r="F70" s="1121">
        <v>4364076</v>
      </c>
      <c r="G70" s="1121">
        <v>324593</v>
      </c>
      <c r="H70" s="1121">
        <v>5201974</v>
      </c>
      <c r="I70" s="1729" t="s">
        <v>2527</v>
      </c>
    </row>
    <row r="71" spans="1:9" ht="24">
      <c r="A71" s="1791" t="s">
        <v>2673</v>
      </c>
      <c r="B71" s="627" t="s">
        <v>2516</v>
      </c>
      <c r="C71" s="1121">
        <v>802175</v>
      </c>
      <c r="D71" s="1121">
        <v>3872834</v>
      </c>
      <c r="E71" s="1121">
        <v>802713</v>
      </c>
      <c r="F71" s="1121">
        <v>4328627</v>
      </c>
      <c r="G71" s="1121">
        <v>1290620</v>
      </c>
      <c r="H71" s="1121">
        <v>21010532</v>
      </c>
      <c r="I71" s="1729" t="s">
        <v>2526</v>
      </c>
    </row>
    <row r="72" spans="1:9" ht="24">
      <c r="A72" s="1791" t="s">
        <v>2674</v>
      </c>
      <c r="B72" s="627" t="s">
        <v>2516</v>
      </c>
      <c r="C72" s="1121" t="s">
        <v>2519</v>
      </c>
      <c r="D72" s="1121">
        <v>1</v>
      </c>
      <c r="E72" s="1121" t="s">
        <v>110</v>
      </c>
      <c r="F72" s="1121" t="s">
        <v>110</v>
      </c>
      <c r="G72" s="1121" t="s">
        <v>110</v>
      </c>
      <c r="H72" s="1121" t="s">
        <v>110</v>
      </c>
      <c r="I72" s="1729" t="s">
        <v>2525</v>
      </c>
    </row>
    <row r="73" spans="1:9" ht="24">
      <c r="A73" s="1792" t="s">
        <v>2675</v>
      </c>
      <c r="B73" s="627" t="s">
        <v>2516</v>
      </c>
      <c r="C73" s="1121">
        <v>246203</v>
      </c>
      <c r="D73" s="1121">
        <v>4995763</v>
      </c>
      <c r="E73" s="1121">
        <v>246534</v>
      </c>
      <c r="F73" s="1121">
        <v>5348323</v>
      </c>
      <c r="G73" s="1121">
        <v>215910</v>
      </c>
      <c r="H73" s="1121">
        <v>6155343</v>
      </c>
      <c r="I73" s="1729" t="s">
        <v>2524</v>
      </c>
    </row>
    <row r="74" spans="1:9" ht="24">
      <c r="A74" s="1791" t="s">
        <v>2677</v>
      </c>
      <c r="B74" s="627" t="s">
        <v>2516</v>
      </c>
      <c r="C74" s="1121" t="s">
        <v>110</v>
      </c>
      <c r="D74" s="1121" t="s">
        <v>110</v>
      </c>
      <c r="E74" s="1121" t="s">
        <v>110</v>
      </c>
      <c r="F74" s="1121" t="s">
        <v>110</v>
      </c>
      <c r="G74" s="1121">
        <v>13</v>
      </c>
      <c r="H74" s="1121">
        <v>7139</v>
      </c>
      <c r="I74" s="1729" t="s">
        <v>2522</v>
      </c>
    </row>
    <row r="75" spans="1:9" ht="24">
      <c r="A75" s="1791" t="s">
        <v>2678</v>
      </c>
      <c r="B75" s="627" t="s">
        <v>2516</v>
      </c>
      <c r="C75" s="1121">
        <v>10</v>
      </c>
      <c r="D75" s="1121">
        <v>10801</v>
      </c>
      <c r="E75" s="1121" t="s">
        <v>110</v>
      </c>
      <c r="F75" s="1121" t="s">
        <v>110</v>
      </c>
      <c r="G75" s="1121" t="s">
        <v>110</v>
      </c>
      <c r="H75" s="1121" t="s">
        <v>110</v>
      </c>
      <c r="I75" s="1729" t="s">
        <v>2521</v>
      </c>
    </row>
    <row r="76" spans="1:9" ht="24">
      <c r="A76" s="1792" t="s">
        <v>2679</v>
      </c>
      <c r="B76" s="627" t="s">
        <v>2516</v>
      </c>
      <c r="C76" s="1121">
        <v>634</v>
      </c>
      <c r="D76" s="1121">
        <v>7902</v>
      </c>
      <c r="E76" s="1121">
        <v>853</v>
      </c>
      <c r="F76" s="1121">
        <v>11573</v>
      </c>
      <c r="G76" s="1121">
        <v>1263</v>
      </c>
      <c r="H76" s="1121">
        <v>21780</v>
      </c>
      <c r="I76" s="1729" t="s">
        <v>2376</v>
      </c>
    </row>
    <row r="77" spans="1:9" ht="24">
      <c r="A77" s="1791" t="s">
        <v>2680</v>
      </c>
      <c r="B77" s="627" t="s">
        <v>2516</v>
      </c>
      <c r="C77" s="1121" t="s">
        <v>2519</v>
      </c>
      <c r="D77" s="1121">
        <v>156</v>
      </c>
      <c r="E77" s="1121" t="s">
        <v>2519</v>
      </c>
      <c r="F77" s="1121">
        <v>104</v>
      </c>
      <c r="G77" s="1121" t="s">
        <v>2519</v>
      </c>
      <c r="H77" s="1121">
        <v>128</v>
      </c>
      <c r="I77" s="1729" t="s">
        <v>2520</v>
      </c>
    </row>
    <row r="78" spans="1:9" ht="24">
      <c r="A78" s="1791" t="s">
        <v>2378</v>
      </c>
      <c r="B78" s="627" t="s">
        <v>2516</v>
      </c>
      <c r="C78" s="1121">
        <v>14582</v>
      </c>
      <c r="D78" s="1121">
        <v>298591</v>
      </c>
      <c r="E78" s="1121">
        <v>13716</v>
      </c>
      <c r="F78" s="1121">
        <v>311809</v>
      </c>
      <c r="G78" s="1121">
        <v>11705</v>
      </c>
      <c r="H78" s="1121">
        <v>282266</v>
      </c>
      <c r="I78" s="1729" t="s">
        <v>2378</v>
      </c>
    </row>
    <row r="79" spans="1:9" ht="24">
      <c r="A79" s="1792" t="s">
        <v>2681</v>
      </c>
      <c r="B79" s="627" t="s">
        <v>2516</v>
      </c>
      <c r="C79" s="1121">
        <v>317</v>
      </c>
      <c r="D79" s="1121">
        <v>15828</v>
      </c>
      <c r="E79" s="1121">
        <v>399</v>
      </c>
      <c r="F79" s="1121">
        <v>20716</v>
      </c>
      <c r="G79" s="1121">
        <v>1762</v>
      </c>
      <c r="H79" s="1121">
        <v>46757</v>
      </c>
      <c r="I79" s="1729" t="s">
        <v>2518</v>
      </c>
    </row>
    <row r="80" spans="1:9" ht="24">
      <c r="A80" s="1791" t="s">
        <v>2682</v>
      </c>
      <c r="B80" s="627" t="s">
        <v>2516</v>
      </c>
      <c r="C80" s="1121">
        <v>1</v>
      </c>
      <c r="D80" s="1121">
        <v>78</v>
      </c>
      <c r="E80" s="1121" t="s">
        <v>2519</v>
      </c>
      <c r="F80" s="1121">
        <v>21</v>
      </c>
      <c r="G80" s="1121" t="s">
        <v>2519</v>
      </c>
      <c r="H80" s="1121">
        <v>180</v>
      </c>
      <c r="I80" s="1729" t="s">
        <v>2517</v>
      </c>
    </row>
    <row r="81" spans="1:9">
      <c r="A81" s="1903" t="s">
        <v>143</v>
      </c>
      <c r="B81" s="1904"/>
      <c r="C81" s="1101" t="s">
        <v>2515</v>
      </c>
      <c r="D81" s="1101">
        <v>1896831578</v>
      </c>
      <c r="E81" s="1101" t="s">
        <v>2515</v>
      </c>
      <c r="F81" s="1101">
        <v>1966539540</v>
      </c>
      <c r="G81" s="1101" t="s">
        <v>2515</v>
      </c>
      <c r="H81" s="1101">
        <v>2578629646</v>
      </c>
      <c r="I81" s="1784" t="s">
        <v>50</v>
      </c>
    </row>
    <row r="82" spans="1:9" ht="21.75" customHeight="1">
      <c r="A82" s="1909" t="s">
        <v>2684</v>
      </c>
      <c r="B82" s="1910"/>
      <c r="C82" s="1910"/>
      <c r="D82" s="1910"/>
      <c r="E82" s="1910"/>
      <c r="F82" s="1910"/>
      <c r="G82" s="1910"/>
      <c r="H82" s="1910"/>
      <c r="I82" s="1911"/>
    </row>
    <row r="83" spans="1:9" ht="15" customHeight="1">
      <c r="A83" s="1912" t="s">
        <v>2692</v>
      </c>
      <c r="B83" s="1913"/>
      <c r="C83" s="1913"/>
      <c r="D83" s="1913"/>
      <c r="E83" s="1913"/>
      <c r="F83" s="1913"/>
      <c r="G83" s="1913"/>
      <c r="H83" s="1913"/>
      <c r="I83" s="1914"/>
    </row>
    <row r="84" spans="1:9" ht="8.25" customHeight="1">
      <c r="A84" s="1915"/>
      <c r="B84" s="1916"/>
      <c r="C84" s="1916"/>
      <c r="D84" s="1916"/>
      <c r="E84" s="1916"/>
      <c r="F84" s="1916"/>
      <c r="G84" s="1916"/>
      <c r="H84" s="1916"/>
      <c r="I84" s="1917"/>
    </row>
    <row r="85" spans="1:9" ht="15.75" thickBot="1">
      <c r="A85" s="1918" t="s">
        <v>2693</v>
      </c>
      <c r="B85" s="1919"/>
      <c r="C85" s="1919"/>
      <c r="D85" s="1919"/>
      <c r="E85" s="1919"/>
      <c r="F85" s="1919"/>
      <c r="G85" s="1919"/>
      <c r="H85" s="1919"/>
      <c r="I85" s="1920"/>
    </row>
    <row r="86" spans="1:9" ht="15.75" thickTop="1"/>
  </sheetData>
  <mergeCells count="12">
    <mergeCell ref="A82:I82"/>
    <mergeCell ref="A83:I84"/>
    <mergeCell ref="A85:I85"/>
    <mergeCell ref="I3:I4"/>
    <mergeCell ref="A1:I1"/>
    <mergeCell ref="A2:I2"/>
    <mergeCell ref="A81:B81"/>
    <mergeCell ref="A3:A4"/>
    <mergeCell ref="B3:B4"/>
    <mergeCell ref="C3:D3"/>
    <mergeCell ref="E3:F3"/>
    <mergeCell ref="G3:H3"/>
  </mergeCells>
  <conditionalFormatting sqref="B5:H80 A81:I81">
    <cfRule type="expression" dxfId="112" priority="5">
      <formula>MOD(ROW(),3)=1</formula>
    </cfRule>
    <cfRule type="expression" dxfId="111" priority="6">
      <formula>MOD((row),3)=1</formula>
    </cfRule>
    <cfRule type="expression" dxfId="110" priority="7">
      <formula>"mod((Row),3)=1"</formula>
    </cfRule>
    <cfRule type="expression" dxfId="109" priority="8">
      <formula>"mod(row),3)=1"</formula>
    </cfRule>
  </conditionalFormatting>
  <conditionalFormatting sqref="I5:I80">
    <cfRule type="expression" dxfId="108" priority="1">
      <formula>MOD(ROW(),3)=1</formula>
    </cfRule>
    <cfRule type="expression" dxfId="107" priority="2">
      <formula>MOD((row),3)=1</formula>
    </cfRule>
    <cfRule type="expression" dxfId="106" priority="3">
      <formula>"mod((Row),3)=1"</formula>
    </cfRule>
    <cfRule type="expression" dxfId="105" priority="4">
      <formula>"mod(row),3)=1"</formula>
    </cfRule>
  </conditionalFormatting>
  <printOptions horizontalCentered="1"/>
  <pageMargins left="0.39370078740157483" right="0.31496062992125984" top="0.82677165354330717" bottom="0.51181102362204722" header="0.31496062992125984" footer="0.27559055118110237"/>
  <pageSetup paperSize="9" scale="57" fitToWidth="0" fitToHeight="0" orientation="landscape" r:id="rId1"/>
  <rowBreaks count="2" manualBreakCount="2">
    <brk id="31" max="8" man="1"/>
    <brk id="61" max="8" man="1"/>
  </rowBreaks>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2E5A48-F962-4ADB-853A-EFA0D8BE8FEB}">
  <dimension ref="A1:AR95"/>
  <sheetViews>
    <sheetView view="pageBreakPreview" topLeftCell="S1" zoomScale="90" zoomScaleSheetLayoutView="90" workbookViewId="0">
      <selection activeCell="S17" sqref="S17"/>
    </sheetView>
  </sheetViews>
  <sheetFormatPr defaultColWidth="9.140625" defaultRowHeight="15"/>
  <cols>
    <col min="1" max="1" width="21.7109375" style="1" hidden="1" customWidth="1"/>
    <col min="2" max="2" width="7.42578125" style="1" hidden="1" customWidth="1"/>
    <col min="3" max="3" width="8" style="1" hidden="1" customWidth="1"/>
    <col min="4" max="4" width="7.5703125" style="1" hidden="1" customWidth="1"/>
    <col min="5" max="5" width="8.42578125" style="1" hidden="1" customWidth="1"/>
    <col min="6" max="17" width="10.85546875" style="1" hidden="1" customWidth="1"/>
    <col min="18" max="18" width="22.42578125" style="1" hidden="1" customWidth="1"/>
    <col min="19" max="19" width="21.28515625" style="953" customWidth="1"/>
    <col min="20" max="31" width="10.7109375" style="1" hidden="1" customWidth="1"/>
    <col min="32" max="43" width="10.7109375" style="1" customWidth="1"/>
    <col min="44" max="44" width="23.140625" style="1" customWidth="1"/>
    <col min="45" max="16384" width="9.140625" style="1"/>
  </cols>
  <sheetData>
    <row r="1" spans="1:44" s="41" customFormat="1" ht="27.75" customHeight="1" thickTop="1">
      <c r="A1" s="2192" t="s">
        <v>2033</v>
      </c>
      <c r="B1" s="2192"/>
      <c r="C1" s="2192"/>
      <c r="D1" s="2192"/>
      <c r="E1" s="2192"/>
      <c r="F1" s="2192"/>
      <c r="G1" s="2192"/>
      <c r="H1" s="2192"/>
      <c r="I1" s="2192"/>
      <c r="J1" s="2192"/>
      <c r="K1" s="2192"/>
      <c r="L1" s="2192"/>
      <c r="M1" s="2192"/>
      <c r="N1" s="2192"/>
      <c r="O1" s="2192"/>
      <c r="P1" s="2192"/>
      <c r="Q1" s="2192"/>
      <c r="R1" s="2192"/>
      <c r="S1" s="1868" t="s">
        <v>2794</v>
      </c>
      <c r="T1" s="1944"/>
      <c r="U1" s="1944"/>
      <c r="V1" s="1944"/>
      <c r="W1" s="1944"/>
      <c r="X1" s="1944"/>
      <c r="Y1" s="1944"/>
      <c r="Z1" s="1944"/>
      <c r="AA1" s="1944"/>
      <c r="AB1" s="1944"/>
      <c r="AC1" s="1944"/>
      <c r="AD1" s="1944"/>
      <c r="AE1" s="1944"/>
      <c r="AF1" s="1944"/>
      <c r="AG1" s="1944"/>
      <c r="AH1" s="1944"/>
      <c r="AI1" s="1944"/>
      <c r="AJ1" s="1944"/>
      <c r="AK1" s="1944"/>
      <c r="AL1" s="1944"/>
      <c r="AM1" s="1944"/>
      <c r="AN1" s="1944"/>
      <c r="AO1" s="1944"/>
      <c r="AP1" s="1944"/>
      <c r="AQ1" s="1944"/>
      <c r="AR1" s="1945"/>
    </row>
    <row r="2" spans="1:44" s="41" customFormat="1" ht="27.75" customHeight="1">
      <c r="A2" s="2192" t="s">
        <v>2032</v>
      </c>
      <c r="B2" s="2192"/>
      <c r="C2" s="2192"/>
      <c r="D2" s="2192"/>
      <c r="E2" s="2192"/>
      <c r="F2" s="2192"/>
      <c r="G2" s="2192"/>
      <c r="H2" s="2192"/>
      <c r="I2" s="2192"/>
      <c r="J2" s="2192"/>
      <c r="K2" s="2192"/>
      <c r="L2" s="2192"/>
      <c r="M2" s="2192"/>
      <c r="N2" s="2192"/>
      <c r="O2" s="2192"/>
      <c r="P2" s="2192"/>
      <c r="Q2" s="2192"/>
      <c r="R2" s="2192"/>
      <c r="S2" s="2253" t="s">
        <v>2795</v>
      </c>
      <c r="T2" s="2352"/>
      <c r="U2" s="2352"/>
      <c r="V2" s="2352"/>
      <c r="W2" s="2352"/>
      <c r="X2" s="2352"/>
      <c r="Y2" s="2352"/>
      <c r="Z2" s="2352"/>
      <c r="AA2" s="2352"/>
      <c r="AB2" s="2352"/>
      <c r="AC2" s="2352"/>
      <c r="AD2" s="2352"/>
      <c r="AE2" s="2352"/>
      <c r="AF2" s="2352"/>
      <c r="AG2" s="2352"/>
      <c r="AH2" s="2352"/>
      <c r="AI2" s="2352"/>
      <c r="AJ2" s="2352"/>
      <c r="AK2" s="2352"/>
      <c r="AL2" s="2352"/>
      <c r="AM2" s="2352"/>
      <c r="AN2" s="2352"/>
      <c r="AO2" s="2352"/>
      <c r="AP2" s="2352"/>
      <c r="AQ2" s="2352"/>
      <c r="AR2" s="2254"/>
    </row>
    <row r="3" spans="1:44" s="7" customFormat="1" ht="27.75" customHeight="1">
      <c r="A3" s="66"/>
      <c r="B3" s="958"/>
      <c r="C3" s="956"/>
      <c r="D3" s="956"/>
      <c r="E3" s="956"/>
      <c r="F3" s="956"/>
      <c r="G3" s="956"/>
      <c r="H3" s="956"/>
      <c r="I3" s="956"/>
      <c r="J3" s="956"/>
      <c r="K3" s="2250" t="s">
        <v>2031</v>
      </c>
      <c r="L3" s="2250"/>
      <c r="M3" s="2250"/>
      <c r="N3" s="2250"/>
      <c r="O3" s="2250"/>
      <c r="P3" s="2250"/>
      <c r="Q3" s="2250"/>
      <c r="R3" s="2250"/>
      <c r="S3" s="957"/>
      <c r="T3" s="956"/>
      <c r="U3" s="956"/>
      <c r="V3" s="956"/>
      <c r="W3" s="956"/>
      <c r="X3" s="956"/>
      <c r="Y3" s="2350" t="s">
        <v>2030</v>
      </c>
      <c r="Z3" s="2350"/>
      <c r="AA3" s="2350"/>
      <c r="AB3" s="2350"/>
      <c r="AC3" s="2350"/>
      <c r="AD3" s="2350"/>
      <c r="AE3" s="2350"/>
      <c r="AF3" s="2350"/>
      <c r="AG3" s="2350"/>
      <c r="AH3" s="2350"/>
      <c r="AI3" s="2350"/>
      <c r="AJ3" s="2350"/>
      <c r="AK3" s="2350"/>
      <c r="AL3" s="2350"/>
      <c r="AM3" s="2350"/>
      <c r="AN3" s="2350"/>
      <c r="AO3" s="2350"/>
      <c r="AP3" s="2350"/>
      <c r="AQ3" s="2350"/>
      <c r="AR3" s="2351"/>
    </row>
    <row r="4" spans="1:44" s="955" customFormat="1" ht="36" customHeight="1">
      <c r="A4" s="1929" t="s">
        <v>49</v>
      </c>
      <c r="B4" s="1929" t="s">
        <v>2</v>
      </c>
      <c r="C4" s="1929"/>
      <c r="D4" s="1929"/>
      <c r="E4" s="1929"/>
      <c r="F4" s="1929" t="s">
        <v>3</v>
      </c>
      <c r="G4" s="1929"/>
      <c r="H4" s="1929"/>
      <c r="I4" s="1929"/>
      <c r="J4" s="1929" t="s">
        <v>13</v>
      </c>
      <c r="K4" s="1929"/>
      <c r="L4" s="1929"/>
      <c r="M4" s="1929"/>
      <c r="N4" s="1929" t="s">
        <v>41</v>
      </c>
      <c r="O4" s="1929"/>
      <c r="P4" s="1929"/>
      <c r="Q4" s="1929"/>
      <c r="R4" s="1907" t="s">
        <v>141</v>
      </c>
      <c r="S4" s="1928" t="s">
        <v>141</v>
      </c>
      <c r="T4" s="1929" t="s">
        <v>42</v>
      </c>
      <c r="U4" s="1929"/>
      <c r="V4" s="1929"/>
      <c r="W4" s="1929"/>
      <c r="X4" s="1929" t="s">
        <v>129</v>
      </c>
      <c r="Y4" s="1929"/>
      <c r="Z4" s="1929"/>
      <c r="AA4" s="1929"/>
      <c r="AB4" s="1929" t="s">
        <v>142</v>
      </c>
      <c r="AC4" s="1929"/>
      <c r="AD4" s="1929"/>
      <c r="AE4" s="1929"/>
      <c r="AF4" s="1929" t="s">
        <v>276</v>
      </c>
      <c r="AG4" s="1929"/>
      <c r="AH4" s="1929"/>
      <c r="AI4" s="1929"/>
      <c r="AJ4" s="1929" t="s">
        <v>522</v>
      </c>
      <c r="AK4" s="1929"/>
      <c r="AL4" s="1929"/>
      <c r="AM4" s="1929"/>
      <c r="AN4" s="1929" t="s">
        <v>652</v>
      </c>
      <c r="AO4" s="1929"/>
      <c r="AP4" s="1929"/>
      <c r="AQ4" s="1929"/>
      <c r="AR4" s="2353" t="s">
        <v>49</v>
      </c>
    </row>
    <row r="5" spans="1:44" s="955" customFormat="1" ht="45" customHeight="1">
      <c r="A5" s="1929"/>
      <c r="B5" s="79" t="s">
        <v>2027</v>
      </c>
      <c r="C5" s="79" t="s">
        <v>2026</v>
      </c>
      <c r="D5" s="79" t="s">
        <v>2028</v>
      </c>
      <c r="E5" s="79" t="s">
        <v>641</v>
      </c>
      <c r="F5" s="79" t="s">
        <v>2027</v>
      </c>
      <c r="G5" s="79" t="s">
        <v>2026</v>
      </c>
      <c r="H5" s="79" t="s">
        <v>2028</v>
      </c>
      <c r="I5" s="79" t="s">
        <v>262</v>
      </c>
      <c r="J5" s="79" t="s">
        <v>2027</v>
      </c>
      <c r="K5" s="79" t="s">
        <v>2026</v>
      </c>
      <c r="L5" s="79" t="s">
        <v>2028</v>
      </c>
      <c r="M5" s="79" t="s">
        <v>262</v>
      </c>
      <c r="N5" s="79" t="s">
        <v>2027</v>
      </c>
      <c r="O5" s="79" t="s">
        <v>2026</v>
      </c>
      <c r="P5" s="79" t="s">
        <v>2028</v>
      </c>
      <c r="Q5" s="79" t="s">
        <v>303</v>
      </c>
      <c r="R5" s="1907"/>
      <c r="S5" s="1928"/>
      <c r="T5" s="79" t="s">
        <v>2027</v>
      </c>
      <c r="U5" s="79" t="s">
        <v>2029</v>
      </c>
      <c r="V5" s="79" t="s">
        <v>2028</v>
      </c>
      <c r="W5" s="79" t="s">
        <v>262</v>
      </c>
      <c r="X5" s="79" t="s">
        <v>2027</v>
      </c>
      <c r="Y5" s="79" t="s">
        <v>2026</v>
      </c>
      <c r="Z5" s="79" t="s">
        <v>2025</v>
      </c>
      <c r="AA5" s="79" t="s">
        <v>262</v>
      </c>
      <c r="AB5" s="1143" t="s">
        <v>2017</v>
      </c>
      <c r="AC5" s="1143" t="s">
        <v>2016</v>
      </c>
      <c r="AD5" s="1143" t="s">
        <v>2015</v>
      </c>
      <c r="AE5" s="1143" t="s">
        <v>2014</v>
      </c>
      <c r="AF5" s="108" t="s">
        <v>2017</v>
      </c>
      <c r="AG5" s="108" t="s">
        <v>2016</v>
      </c>
      <c r="AH5" s="108" t="s">
        <v>2015</v>
      </c>
      <c r="AI5" s="108" t="s">
        <v>2014</v>
      </c>
      <c r="AJ5" s="108" t="s">
        <v>2017</v>
      </c>
      <c r="AK5" s="108" t="s">
        <v>2016</v>
      </c>
      <c r="AL5" s="108" t="s">
        <v>2015</v>
      </c>
      <c r="AM5" s="108" t="s">
        <v>2014</v>
      </c>
      <c r="AN5" s="108" t="s">
        <v>2017</v>
      </c>
      <c r="AO5" s="108" t="s">
        <v>2016</v>
      </c>
      <c r="AP5" s="108" t="s">
        <v>2015</v>
      </c>
      <c r="AQ5" s="108" t="s">
        <v>2014</v>
      </c>
      <c r="AR5" s="2353"/>
    </row>
    <row r="6" spans="1:44" s="6" customFormat="1">
      <c r="S6" s="1826" t="s">
        <v>1042</v>
      </c>
      <c r="T6" s="346"/>
      <c r="U6" s="346"/>
      <c r="V6" s="346"/>
      <c r="W6" s="346"/>
      <c r="X6" s="346"/>
      <c r="Y6" s="346"/>
      <c r="Z6" s="346"/>
      <c r="AA6" s="346"/>
      <c r="AB6" s="346"/>
      <c r="AC6" s="346"/>
      <c r="AD6" s="346"/>
      <c r="AE6" s="347"/>
      <c r="AF6" s="347"/>
      <c r="AG6" s="1824"/>
      <c r="AH6" s="1824"/>
      <c r="AI6" s="1824"/>
      <c r="AJ6" s="1824"/>
      <c r="AK6" s="1824"/>
      <c r="AL6" s="1824"/>
      <c r="AM6" s="1824"/>
      <c r="AN6" s="1824"/>
      <c r="AO6" s="1824"/>
      <c r="AP6" s="1824"/>
      <c r="AQ6" s="1825"/>
      <c r="AR6" s="1827" t="s">
        <v>1856</v>
      </c>
    </row>
    <row r="7" spans="1:44">
      <c r="S7" s="1828" t="s">
        <v>680</v>
      </c>
      <c r="T7" s="361"/>
      <c r="U7" s="361"/>
      <c r="V7" s="361"/>
      <c r="W7" s="361"/>
      <c r="X7" s="361"/>
      <c r="Y7" s="361"/>
      <c r="Z7" s="361"/>
      <c r="AA7" s="361"/>
      <c r="AB7" s="361"/>
      <c r="AC7" s="361"/>
      <c r="AD7" s="361"/>
      <c r="AE7" s="361"/>
      <c r="AF7" s="1821">
        <v>100.01</v>
      </c>
      <c r="AG7" s="1821">
        <v>46.2</v>
      </c>
      <c r="AH7" s="1821">
        <v>21.57</v>
      </c>
      <c r="AI7" s="1821">
        <v>167.78</v>
      </c>
      <c r="AJ7" s="1821">
        <v>105.44</v>
      </c>
      <c r="AK7" s="1821">
        <v>52.7</v>
      </c>
      <c r="AL7" s="1821">
        <v>22.76</v>
      </c>
      <c r="AM7" s="1821">
        <v>180.91</v>
      </c>
      <c r="AN7" s="1821">
        <v>116.8</v>
      </c>
      <c r="AO7" s="1821">
        <v>63.4</v>
      </c>
      <c r="AP7" s="1821">
        <v>27.44</v>
      </c>
      <c r="AQ7" s="1821">
        <v>207.64</v>
      </c>
      <c r="AR7" s="1829" t="s">
        <v>2699</v>
      </c>
    </row>
    <row r="8" spans="1:44">
      <c r="S8" s="1828" t="s">
        <v>218</v>
      </c>
      <c r="T8" s="361"/>
      <c r="U8" s="361"/>
      <c r="V8" s="361"/>
      <c r="W8" s="361"/>
      <c r="X8" s="361"/>
      <c r="Y8" s="361"/>
      <c r="Z8" s="361"/>
      <c r="AA8" s="361"/>
      <c r="AB8" s="361"/>
      <c r="AC8" s="361"/>
      <c r="AD8" s="361"/>
      <c r="AE8" s="361"/>
      <c r="AF8" s="361">
        <v>159.19</v>
      </c>
      <c r="AG8" s="361">
        <v>59.9</v>
      </c>
      <c r="AH8" s="361">
        <v>18.38</v>
      </c>
      <c r="AI8" s="361">
        <v>237.48</v>
      </c>
      <c r="AJ8" s="361">
        <v>112.49</v>
      </c>
      <c r="AK8" s="361">
        <v>42.13</v>
      </c>
      <c r="AL8" s="361">
        <v>13.95</v>
      </c>
      <c r="AM8" s="361">
        <v>168.57</v>
      </c>
      <c r="AN8" s="361">
        <v>129.06</v>
      </c>
      <c r="AO8" s="361">
        <v>52.36</v>
      </c>
      <c r="AP8" s="361">
        <v>19.11</v>
      </c>
      <c r="AQ8" s="361">
        <v>200.53</v>
      </c>
      <c r="AR8" s="1829" t="s">
        <v>2700</v>
      </c>
    </row>
    <row r="9" spans="1:44">
      <c r="S9" s="1828" t="s">
        <v>140</v>
      </c>
      <c r="T9" s="361"/>
      <c r="U9" s="361"/>
      <c r="V9" s="361"/>
      <c r="W9" s="361"/>
      <c r="X9" s="361"/>
      <c r="Y9" s="361"/>
      <c r="Z9" s="361"/>
      <c r="AA9" s="361"/>
      <c r="AB9" s="361"/>
      <c r="AC9" s="361"/>
      <c r="AD9" s="361"/>
      <c r="AE9" s="361"/>
      <c r="AF9" s="361">
        <v>95.66</v>
      </c>
      <c r="AG9" s="361">
        <v>51.02</v>
      </c>
      <c r="AH9" s="361">
        <v>28.82</v>
      </c>
      <c r="AI9" s="361">
        <v>175.5</v>
      </c>
      <c r="AJ9" s="361">
        <v>65.38</v>
      </c>
      <c r="AK9" s="361">
        <v>36</v>
      </c>
      <c r="AL9" s="361">
        <v>18.18</v>
      </c>
      <c r="AM9" s="361">
        <v>119.57</v>
      </c>
      <c r="AN9" s="361">
        <v>71.91</v>
      </c>
      <c r="AO9" s="361">
        <v>41.96</v>
      </c>
      <c r="AP9" s="361">
        <v>21.65</v>
      </c>
      <c r="AQ9" s="361">
        <v>135.52000000000001</v>
      </c>
      <c r="AR9" s="1829" t="s">
        <v>2701</v>
      </c>
    </row>
    <row r="10" spans="1:44">
      <c r="S10" s="1828" t="s">
        <v>874</v>
      </c>
      <c r="T10" s="1818"/>
      <c r="U10" s="1818"/>
      <c r="V10" s="1818"/>
      <c r="W10" s="1818"/>
      <c r="X10" s="1818"/>
      <c r="Y10" s="1818"/>
      <c r="Z10" s="1818"/>
      <c r="AA10" s="1818"/>
      <c r="AB10" s="1818"/>
      <c r="AC10" s="1818"/>
      <c r="AD10" s="1818"/>
      <c r="AE10" s="1818"/>
      <c r="AF10" s="361">
        <v>14.19</v>
      </c>
      <c r="AG10" s="361">
        <v>6.79</v>
      </c>
      <c r="AH10" s="361">
        <v>11.74</v>
      </c>
      <c r="AI10" s="361">
        <v>32.71</v>
      </c>
      <c r="AJ10" s="361">
        <v>15.7</v>
      </c>
      <c r="AK10" s="361">
        <v>6.69</v>
      </c>
      <c r="AL10" s="361">
        <v>12.24</v>
      </c>
      <c r="AM10" s="361">
        <v>34.630000000000003</v>
      </c>
      <c r="AN10" s="361">
        <v>17.350000000000001</v>
      </c>
      <c r="AO10" s="361">
        <v>7.48</v>
      </c>
      <c r="AP10" s="361">
        <v>14.79</v>
      </c>
      <c r="AQ10" s="361">
        <v>39.619999999999997</v>
      </c>
      <c r="AR10" s="1829" t="s">
        <v>2702</v>
      </c>
    </row>
    <row r="11" spans="1:44">
      <c r="S11" s="1828" t="s">
        <v>681</v>
      </c>
      <c r="T11" s="361"/>
      <c r="U11" s="361"/>
      <c r="V11" s="361"/>
      <c r="W11" s="361"/>
      <c r="X11" s="361"/>
      <c r="Y11" s="361"/>
      <c r="Z11" s="361"/>
      <c r="AA11" s="361"/>
      <c r="AB11" s="361"/>
      <c r="AC11" s="361"/>
      <c r="AD11" s="361"/>
      <c r="AE11" s="361"/>
      <c r="AF11" s="361">
        <v>96.6</v>
      </c>
      <c r="AG11" s="361">
        <v>37.17</v>
      </c>
      <c r="AH11" s="361">
        <v>29.91</v>
      </c>
      <c r="AI11" s="361">
        <v>163.68</v>
      </c>
      <c r="AJ11" s="361">
        <v>87.07</v>
      </c>
      <c r="AK11" s="361">
        <v>34.92</v>
      </c>
      <c r="AL11" s="361">
        <v>25.62</v>
      </c>
      <c r="AM11" s="361">
        <v>147.61000000000001</v>
      </c>
      <c r="AN11" s="361">
        <v>90.83</v>
      </c>
      <c r="AO11" s="361">
        <v>37.93</v>
      </c>
      <c r="AP11" s="361">
        <v>29.12</v>
      </c>
      <c r="AQ11" s="361">
        <v>157.88</v>
      </c>
      <c r="AR11" s="1829" t="s">
        <v>2703</v>
      </c>
    </row>
    <row r="12" spans="1:44">
      <c r="S12" s="1828" t="s">
        <v>2704</v>
      </c>
      <c r="T12" s="361"/>
      <c r="U12" s="361"/>
      <c r="V12" s="361"/>
      <c r="W12" s="361"/>
      <c r="X12" s="361"/>
      <c r="Y12" s="361"/>
      <c r="Z12" s="361"/>
      <c r="AA12" s="361"/>
      <c r="AB12" s="361"/>
      <c r="AC12" s="361"/>
      <c r="AD12" s="361"/>
      <c r="AE12" s="361"/>
      <c r="AF12" s="361">
        <v>176.82</v>
      </c>
      <c r="AG12" s="361">
        <v>30.94</v>
      </c>
      <c r="AH12" s="361">
        <v>27.17</v>
      </c>
      <c r="AI12" s="361">
        <v>234.93</v>
      </c>
      <c r="AJ12" s="361">
        <v>173.85</v>
      </c>
      <c r="AK12" s="361">
        <v>46.92</v>
      </c>
      <c r="AL12" s="361">
        <v>23.33</v>
      </c>
      <c r="AM12" s="361">
        <v>244.1</v>
      </c>
      <c r="AN12" s="361">
        <v>217.07</v>
      </c>
      <c r="AO12" s="361">
        <v>55.29</v>
      </c>
      <c r="AP12" s="361">
        <v>39.68</v>
      </c>
      <c r="AQ12" s="361">
        <v>312.04000000000002</v>
      </c>
      <c r="AR12" s="1829" t="s">
        <v>10</v>
      </c>
    </row>
    <row r="13" spans="1:44" ht="30">
      <c r="S13" s="1830" t="s">
        <v>2705</v>
      </c>
      <c r="T13" s="361"/>
      <c r="U13" s="361"/>
      <c r="V13" s="361"/>
      <c r="W13" s="361"/>
      <c r="X13" s="361"/>
      <c r="Y13" s="361"/>
      <c r="Z13" s="361"/>
      <c r="AA13" s="361"/>
      <c r="AB13" s="361"/>
      <c r="AC13" s="361"/>
      <c r="AD13" s="361"/>
      <c r="AE13" s="361"/>
      <c r="AF13" s="361">
        <v>0</v>
      </c>
      <c r="AG13" s="361">
        <v>0</v>
      </c>
      <c r="AH13" s="361">
        <v>0</v>
      </c>
      <c r="AI13" s="361">
        <v>0</v>
      </c>
      <c r="AJ13" s="361">
        <v>0</v>
      </c>
      <c r="AK13" s="361">
        <v>0</v>
      </c>
      <c r="AL13" s="361">
        <v>0</v>
      </c>
      <c r="AM13" s="361">
        <v>0</v>
      </c>
      <c r="AN13" s="361">
        <v>3.24</v>
      </c>
      <c r="AO13" s="361">
        <v>0</v>
      </c>
      <c r="AP13" s="361">
        <v>0</v>
      </c>
      <c r="AQ13" s="361">
        <v>3.24</v>
      </c>
      <c r="AR13" s="1829" t="s">
        <v>2706</v>
      </c>
    </row>
    <row r="14" spans="1:44">
      <c r="S14" s="1828" t="s">
        <v>1609</v>
      </c>
      <c r="T14" s="361"/>
      <c r="U14" s="361"/>
      <c r="V14" s="361"/>
      <c r="W14" s="361"/>
      <c r="X14" s="361"/>
      <c r="Y14" s="361"/>
      <c r="Z14" s="361"/>
      <c r="AA14" s="361"/>
      <c r="AB14" s="361"/>
      <c r="AC14" s="361"/>
      <c r="AD14" s="361"/>
      <c r="AE14" s="361"/>
      <c r="AF14" s="361"/>
      <c r="AG14" s="361"/>
      <c r="AH14" s="361"/>
      <c r="AI14" s="361"/>
      <c r="AJ14" s="361"/>
      <c r="AK14" s="361"/>
      <c r="AL14" s="361"/>
      <c r="AM14" s="361"/>
      <c r="AN14" s="361"/>
      <c r="AO14" s="361"/>
      <c r="AP14" s="361"/>
      <c r="AQ14" s="361"/>
      <c r="AR14" s="1829" t="s">
        <v>2707</v>
      </c>
    </row>
    <row r="15" spans="1:44">
      <c r="S15" s="1826" t="s">
        <v>2708</v>
      </c>
      <c r="T15" s="361"/>
      <c r="U15" s="361"/>
      <c r="V15" s="361"/>
      <c r="W15" s="361"/>
      <c r="X15" s="361"/>
      <c r="Y15" s="361"/>
      <c r="Z15" s="361"/>
      <c r="AA15" s="361"/>
      <c r="AB15" s="361"/>
      <c r="AC15" s="361"/>
      <c r="AD15" s="361"/>
      <c r="AE15" s="361"/>
      <c r="AF15" s="1820">
        <v>95.77</v>
      </c>
      <c r="AG15" s="1820">
        <v>42.75</v>
      </c>
      <c r="AH15" s="1820">
        <v>23.1</v>
      </c>
      <c r="AI15" s="1820">
        <v>161.62</v>
      </c>
      <c r="AJ15" s="1820">
        <v>80.37</v>
      </c>
      <c r="AK15" s="1820">
        <v>37.159999999999997</v>
      </c>
      <c r="AL15" s="1820">
        <v>18.72</v>
      </c>
      <c r="AM15" s="1820">
        <v>136.26</v>
      </c>
      <c r="AN15" s="1820">
        <v>89.1</v>
      </c>
      <c r="AO15" s="1820">
        <v>44.04</v>
      </c>
      <c r="AP15" s="1820">
        <v>22.74</v>
      </c>
      <c r="AQ15" s="1820">
        <v>155.88</v>
      </c>
      <c r="AR15" s="348" t="s">
        <v>2709</v>
      </c>
    </row>
    <row r="16" spans="1:44">
      <c r="S16" s="1826" t="s">
        <v>1056</v>
      </c>
      <c r="T16" s="361"/>
      <c r="U16" s="361"/>
      <c r="V16" s="361"/>
      <c r="W16" s="361"/>
      <c r="X16" s="361"/>
      <c r="Y16" s="361"/>
      <c r="Z16" s="361"/>
      <c r="AA16" s="361"/>
      <c r="AB16" s="361"/>
      <c r="AC16" s="361"/>
      <c r="AD16" s="361"/>
      <c r="AE16" s="362"/>
      <c r="AF16" s="362"/>
      <c r="AG16" s="1822"/>
      <c r="AH16" s="1822"/>
      <c r="AI16" s="1822"/>
      <c r="AJ16" s="1822"/>
      <c r="AK16" s="1822"/>
      <c r="AL16" s="1822"/>
      <c r="AM16" s="1822"/>
      <c r="AN16" s="1822"/>
      <c r="AO16" s="1822"/>
      <c r="AP16" s="1822"/>
      <c r="AQ16" s="1823"/>
      <c r="AR16" s="1827" t="s">
        <v>1855</v>
      </c>
    </row>
    <row r="17" spans="19:44">
      <c r="S17" s="1831" t="s">
        <v>877</v>
      </c>
      <c r="T17" s="361"/>
      <c r="U17" s="361"/>
      <c r="V17" s="361"/>
      <c r="W17" s="361"/>
      <c r="X17" s="361"/>
      <c r="Y17" s="361"/>
      <c r="Z17" s="361"/>
      <c r="AA17" s="361"/>
      <c r="AB17" s="361"/>
      <c r="AC17" s="361"/>
      <c r="AD17" s="361"/>
      <c r="AE17" s="361"/>
      <c r="AF17" s="1821">
        <v>93.57</v>
      </c>
      <c r="AG17" s="1821">
        <v>27.72</v>
      </c>
      <c r="AH17" s="1821">
        <v>9.85</v>
      </c>
      <c r="AI17" s="1821">
        <v>131.13999999999999</v>
      </c>
      <c r="AJ17" s="1821">
        <v>95.42</v>
      </c>
      <c r="AK17" s="1821">
        <v>28.09</v>
      </c>
      <c r="AL17" s="1821">
        <v>8.36</v>
      </c>
      <c r="AM17" s="1821">
        <v>131.86000000000001</v>
      </c>
      <c r="AN17" s="1821">
        <v>99.47</v>
      </c>
      <c r="AO17" s="1821">
        <v>34.700000000000003</v>
      </c>
      <c r="AP17" s="1821">
        <v>10.09</v>
      </c>
      <c r="AQ17" s="1821">
        <v>144.26</v>
      </c>
      <c r="AR17" s="1829" t="s">
        <v>2710</v>
      </c>
    </row>
    <row r="18" spans="19:44">
      <c r="S18" s="1831" t="s">
        <v>909</v>
      </c>
      <c r="T18" s="361"/>
      <c r="U18" s="361"/>
      <c r="V18" s="361"/>
      <c r="W18" s="361"/>
      <c r="X18" s="361"/>
      <c r="Y18" s="361"/>
      <c r="Z18" s="361"/>
      <c r="AA18" s="361"/>
      <c r="AB18" s="361"/>
      <c r="AC18" s="361"/>
      <c r="AD18" s="361"/>
      <c r="AE18" s="361"/>
      <c r="AF18" s="361">
        <v>64.73</v>
      </c>
      <c r="AG18" s="361">
        <v>34.33</v>
      </c>
      <c r="AH18" s="361">
        <v>4.5199999999999996</v>
      </c>
      <c r="AI18" s="361">
        <v>103.58</v>
      </c>
      <c r="AJ18" s="361">
        <v>58.02</v>
      </c>
      <c r="AK18" s="361">
        <v>31.02</v>
      </c>
      <c r="AL18" s="361">
        <v>4.0199999999999996</v>
      </c>
      <c r="AM18" s="361">
        <v>93.06</v>
      </c>
      <c r="AN18" s="361">
        <v>57.73</v>
      </c>
      <c r="AO18" s="361">
        <v>34</v>
      </c>
      <c r="AP18" s="361">
        <v>4.67</v>
      </c>
      <c r="AQ18" s="361">
        <v>96.4</v>
      </c>
      <c r="AR18" s="1829" t="s">
        <v>2711</v>
      </c>
    </row>
    <row r="19" spans="19:44">
      <c r="S19" s="1831" t="s">
        <v>2712</v>
      </c>
      <c r="T19" s="361"/>
      <c r="U19" s="361"/>
      <c r="V19" s="361"/>
      <c r="W19" s="361"/>
      <c r="X19" s="361"/>
      <c r="Y19" s="361"/>
      <c r="Z19" s="361"/>
      <c r="AA19" s="361"/>
      <c r="AB19" s="361"/>
      <c r="AC19" s="361"/>
      <c r="AD19" s="361"/>
      <c r="AE19" s="361"/>
      <c r="AF19" s="361">
        <v>70.680000000000007</v>
      </c>
      <c r="AG19" s="361">
        <v>33.090000000000003</v>
      </c>
      <c r="AH19" s="361">
        <v>8.91</v>
      </c>
      <c r="AI19" s="361">
        <v>112.67</v>
      </c>
      <c r="AJ19" s="361">
        <v>67.540000000000006</v>
      </c>
      <c r="AK19" s="361">
        <v>33.869999999999997</v>
      </c>
      <c r="AL19" s="361">
        <v>9.33</v>
      </c>
      <c r="AM19" s="361">
        <v>110.74</v>
      </c>
      <c r="AN19" s="361">
        <v>78.14</v>
      </c>
      <c r="AO19" s="361">
        <v>40.47</v>
      </c>
      <c r="AP19" s="361">
        <v>11.09</v>
      </c>
      <c r="AQ19" s="361">
        <v>129.69999999999999</v>
      </c>
      <c r="AR19" s="1829" t="s">
        <v>2713</v>
      </c>
    </row>
    <row r="20" spans="19:44">
      <c r="S20" s="1831" t="s">
        <v>138</v>
      </c>
      <c r="T20" s="1818"/>
      <c r="U20" s="1818"/>
      <c r="V20" s="1818"/>
      <c r="W20" s="1818"/>
      <c r="X20" s="1818"/>
      <c r="Y20" s="1818"/>
      <c r="Z20" s="1818"/>
      <c r="AA20" s="1818"/>
      <c r="AB20" s="1818"/>
      <c r="AC20" s="1818"/>
      <c r="AD20" s="1818"/>
      <c r="AE20" s="1818"/>
      <c r="AF20" s="361">
        <v>65.63</v>
      </c>
      <c r="AG20" s="361">
        <v>38.049999999999997</v>
      </c>
      <c r="AH20" s="361">
        <v>23.11</v>
      </c>
      <c r="AI20" s="361">
        <v>126.79</v>
      </c>
      <c r="AJ20" s="361">
        <v>59.11</v>
      </c>
      <c r="AK20" s="361">
        <v>34.01</v>
      </c>
      <c r="AL20" s="361">
        <v>18.260000000000002</v>
      </c>
      <c r="AM20" s="361">
        <v>111.37</v>
      </c>
      <c r="AN20" s="361">
        <v>64.33</v>
      </c>
      <c r="AO20" s="361">
        <v>42.69</v>
      </c>
      <c r="AP20" s="361">
        <v>22.17</v>
      </c>
      <c r="AQ20" s="361">
        <v>129.19</v>
      </c>
      <c r="AR20" s="1829" t="s">
        <v>2714</v>
      </c>
    </row>
    <row r="21" spans="19:44">
      <c r="S21" s="1831" t="s">
        <v>872</v>
      </c>
      <c r="T21" s="361"/>
      <c r="U21" s="361"/>
      <c r="V21" s="361"/>
      <c r="W21" s="361"/>
      <c r="X21" s="361"/>
      <c r="Y21" s="361"/>
      <c r="Z21" s="361"/>
      <c r="AA21" s="361"/>
      <c r="AB21" s="361"/>
      <c r="AC21" s="361"/>
      <c r="AD21" s="361"/>
      <c r="AE21" s="361"/>
      <c r="AF21" s="361">
        <v>43.7</v>
      </c>
      <c r="AG21" s="361">
        <v>16.010000000000002</v>
      </c>
      <c r="AH21" s="361">
        <v>1.03</v>
      </c>
      <c r="AI21" s="361">
        <v>60.74</v>
      </c>
      <c r="AJ21" s="361">
        <v>46.56</v>
      </c>
      <c r="AK21" s="361">
        <v>18.32</v>
      </c>
      <c r="AL21" s="361">
        <v>0.8</v>
      </c>
      <c r="AM21" s="361">
        <v>65.680000000000007</v>
      </c>
      <c r="AN21" s="361">
        <v>47.17</v>
      </c>
      <c r="AO21" s="361">
        <v>19.350000000000001</v>
      </c>
      <c r="AP21" s="361">
        <v>0.94</v>
      </c>
      <c r="AQ21" s="361">
        <v>67.459999999999994</v>
      </c>
      <c r="AR21" s="1829" t="s">
        <v>33</v>
      </c>
    </row>
    <row r="22" spans="19:44">
      <c r="S22" s="1831" t="s">
        <v>216</v>
      </c>
      <c r="T22" s="361"/>
      <c r="U22" s="361"/>
      <c r="V22" s="361"/>
      <c r="W22" s="361"/>
      <c r="X22" s="361"/>
      <c r="Y22" s="361"/>
      <c r="Z22" s="361"/>
      <c r="AA22" s="361"/>
      <c r="AB22" s="361"/>
      <c r="AC22" s="361"/>
      <c r="AD22" s="361"/>
      <c r="AE22" s="361"/>
      <c r="AF22" s="361">
        <v>17.04</v>
      </c>
      <c r="AG22" s="361">
        <v>13.38</v>
      </c>
      <c r="AH22" s="361">
        <v>9.41</v>
      </c>
      <c r="AI22" s="361">
        <v>39.83</v>
      </c>
      <c r="AJ22" s="361">
        <v>14.54</v>
      </c>
      <c r="AK22" s="361">
        <v>9.4700000000000006</v>
      </c>
      <c r="AL22" s="361">
        <v>10.96</v>
      </c>
      <c r="AM22" s="361">
        <v>34.97</v>
      </c>
      <c r="AN22" s="361">
        <v>18.12</v>
      </c>
      <c r="AO22" s="361">
        <v>9.52</v>
      </c>
      <c r="AP22" s="361">
        <v>9.83</v>
      </c>
      <c r="AQ22" s="361">
        <v>37.47</v>
      </c>
      <c r="AR22" s="1829" t="s">
        <v>16</v>
      </c>
    </row>
    <row r="23" spans="19:44">
      <c r="S23" s="1831" t="s">
        <v>2715</v>
      </c>
      <c r="T23" s="361"/>
      <c r="U23" s="361"/>
      <c r="V23" s="361"/>
      <c r="W23" s="361"/>
      <c r="X23" s="361"/>
      <c r="Y23" s="361"/>
      <c r="Z23" s="361"/>
      <c r="AA23" s="361"/>
      <c r="AB23" s="361"/>
      <c r="AC23" s="361"/>
      <c r="AD23" s="361"/>
      <c r="AE23" s="361"/>
      <c r="AF23" s="361">
        <v>0</v>
      </c>
      <c r="AG23" s="361">
        <v>0</v>
      </c>
      <c r="AH23" s="361">
        <v>0</v>
      </c>
      <c r="AI23" s="361">
        <v>0</v>
      </c>
      <c r="AJ23" s="361">
        <v>0</v>
      </c>
      <c r="AK23" s="361">
        <v>0</v>
      </c>
      <c r="AL23" s="361">
        <v>0</v>
      </c>
      <c r="AM23" s="361">
        <v>0</v>
      </c>
      <c r="AN23" s="361">
        <v>0</v>
      </c>
      <c r="AO23" s="361">
        <v>0</v>
      </c>
      <c r="AP23" s="361">
        <v>0</v>
      </c>
      <c r="AQ23" s="361">
        <v>0</v>
      </c>
      <c r="AR23" s="1829" t="s">
        <v>4</v>
      </c>
    </row>
    <row r="24" spans="19:44">
      <c r="S24" s="1831" t="s">
        <v>2716</v>
      </c>
      <c r="T24" s="361"/>
      <c r="U24" s="361"/>
      <c r="V24" s="361"/>
      <c r="W24" s="361"/>
      <c r="X24" s="361"/>
      <c r="Y24" s="361"/>
      <c r="Z24" s="361"/>
      <c r="AA24" s="361"/>
      <c r="AB24" s="361"/>
      <c r="AC24" s="361"/>
      <c r="AD24" s="361"/>
      <c r="AE24" s="361"/>
      <c r="AF24" s="361">
        <v>7.24</v>
      </c>
      <c r="AG24" s="361">
        <v>4.22</v>
      </c>
      <c r="AH24" s="361">
        <v>0</v>
      </c>
      <c r="AI24" s="361">
        <v>11.47</v>
      </c>
      <c r="AJ24" s="361">
        <v>0</v>
      </c>
      <c r="AK24" s="361">
        <v>0</v>
      </c>
      <c r="AL24" s="361">
        <v>0</v>
      </c>
      <c r="AM24" s="361">
        <v>0</v>
      </c>
      <c r="AN24" s="361">
        <v>28.73</v>
      </c>
      <c r="AO24" s="361">
        <v>19.89</v>
      </c>
      <c r="AP24" s="361">
        <v>0</v>
      </c>
      <c r="AQ24" s="361">
        <v>48.62</v>
      </c>
      <c r="AR24" s="1829" t="s">
        <v>2717</v>
      </c>
    </row>
    <row r="25" spans="19:44">
      <c r="S25" s="1826" t="s">
        <v>2718</v>
      </c>
      <c r="T25" s="361"/>
      <c r="U25" s="361"/>
      <c r="V25" s="361"/>
      <c r="W25" s="361"/>
      <c r="X25" s="361"/>
      <c r="Y25" s="361"/>
      <c r="Z25" s="361"/>
      <c r="AA25" s="361"/>
      <c r="AB25" s="361"/>
      <c r="AC25" s="361"/>
      <c r="AD25" s="361"/>
      <c r="AE25" s="361"/>
      <c r="AF25" s="1820">
        <v>63.23</v>
      </c>
      <c r="AG25" s="1820">
        <v>29.19</v>
      </c>
      <c r="AH25" s="1820">
        <v>9.07</v>
      </c>
      <c r="AI25" s="1820">
        <v>101.49</v>
      </c>
      <c r="AJ25" s="1820">
        <v>60.92</v>
      </c>
      <c r="AK25" s="1820">
        <v>28.3</v>
      </c>
      <c r="AL25" s="1820">
        <v>7.82</v>
      </c>
      <c r="AM25" s="1820">
        <v>97.04</v>
      </c>
      <c r="AN25" s="1820">
        <v>63.5</v>
      </c>
      <c r="AO25" s="1820">
        <v>32.97</v>
      </c>
      <c r="AP25" s="1820">
        <v>9.33</v>
      </c>
      <c r="AQ25" s="1820">
        <v>105.8</v>
      </c>
      <c r="AR25" s="1829" t="s">
        <v>2719</v>
      </c>
    </row>
    <row r="26" spans="19:44">
      <c r="S26" s="1826" t="s">
        <v>310</v>
      </c>
      <c r="T26" s="361"/>
      <c r="U26" s="361"/>
      <c r="V26" s="361"/>
      <c r="W26" s="361"/>
      <c r="X26" s="361"/>
      <c r="Y26" s="361"/>
      <c r="Z26" s="361"/>
      <c r="AA26" s="361"/>
      <c r="AB26" s="361"/>
      <c r="AC26" s="361"/>
      <c r="AD26" s="361"/>
      <c r="AE26" s="362"/>
      <c r="AF26" s="362"/>
      <c r="AG26" s="1822"/>
      <c r="AH26" s="1822"/>
      <c r="AI26" s="1822"/>
      <c r="AJ26" s="1822"/>
      <c r="AK26" s="1822"/>
      <c r="AL26" s="1822"/>
      <c r="AM26" s="1822"/>
      <c r="AN26" s="1822"/>
      <c r="AO26" s="1822"/>
      <c r="AP26" s="1822"/>
      <c r="AQ26" s="1823"/>
      <c r="AR26" s="1827" t="s">
        <v>1853</v>
      </c>
    </row>
    <row r="27" spans="19:44">
      <c r="S27" s="1831" t="s">
        <v>2720</v>
      </c>
      <c r="T27" s="361"/>
      <c r="U27" s="361"/>
      <c r="V27" s="361"/>
      <c r="W27" s="361"/>
      <c r="X27" s="361"/>
      <c r="Y27" s="361"/>
      <c r="Z27" s="361"/>
      <c r="AA27" s="361"/>
      <c r="AB27" s="361"/>
      <c r="AC27" s="361"/>
      <c r="AD27" s="361"/>
      <c r="AE27" s="361"/>
      <c r="AF27" s="1821">
        <v>170.03</v>
      </c>
      <c r="AG27" s="1821">
        <v>44.87</v>
      </c>
      <c r="AH27" s="1821">
        <v>7.37</v>
      </c>
      <c r="AI27" s="1821">
        <v>222.26</v>
      </c>
      <c r="AJ27" s="1821">
        <v>161.46</v>
      </c>
      <c r="AK27" s="1821">
        <v>45.73</v>
      </c>
      <c r="AL27" s="1821">
        <v>5.72</v>
      </c>
      <c r="AM27" s="1821">
        <v>212.9</v>
      </c>
      <c r="AN27" s="1821">
        <v>167.05</v>
      </c>
      <c r="AO27" s="1821">
        <v>48.05</v>
      </c>
      <c r="AP27" s="1821">
        <v>5.91</v>
      </c>
      <c r="AQ27" s="1821">
        <v>221.02</v>
      </c>
      <c r="AR27" s="1829" t="s">
        <v>25</v>
      </c>
    </row>
    <row r="28" spans="19:44">
      <c r="S28" s="1831" t="s">
        <v>1152</v>
      </c>
      <c r="T28" s="361"/>
      <c r="U28" s="361"/>
      <c r="V28" s="361"/>
      <c r="W28" s="361"/>
      <c r="X28" s="361"/>
      <c r="Y28" s="361"/>
      <c r="Z28" s="361"/>
      <c r="AA28" s="361"/>
      <c r="AB28" s="361"/>
      <c r="AC28" s="361"/>
      <c r="AD28" s="361"/>
      <c r="AE28" s="361"/>
      <c r="AF28" s="361">
        <v>188.2</v>
      </c>
      <c r="AG28" s="361">
        <v>45.26</v>
      </c>
      <c r="AH28" s="361">
        <v>5.82</v>
      </c>
      <c r="AI28" s="361">
        <v>239.29</v>
      </c>
      <c r="AJ28" s="361">
        <v>191.36</v>
      </c>
      <c r="AK28" s="361">
        <v>46.32</v>
      </c>
      <c r="AL28" s="361">
        <v>5.49</v>
      </c>
      <c r="AM28" s="361">
        <v>243.17</v>
      </c>
      <c r="AN28" s="361">
        <v>190.81</v>
      </c>
      <c r="AO28" s="361">
        <v>48.83</v>
      </c>
      <c r="AP28" s="361">
        <v>7.07</v>
      </c>
      <c r="AQ28" s="361">
        <v>246.71</v>
      </c>
      <c r="AR28" s="1829" t="s">
        <v>32</v>
      </c>
    </row>
    <row r="29" spans="19:44">
      <c r="S29" s="1831" t="s">
        <v>2721</v>
      </c>
      <c r="T29" s="361"/>
      <c r="U29" s="361"/>
      <c r="V29" s="361"/>
      <c r="W29" s="361"/>
      <c r="X29" s="361"/>
      <c r="Y29" s="361"/>
      <c r="Z29" s="361"/>
      <c r="AA29" s="361"/>
      <c r="AB29" s="361"/>
      <c r="AC29" s="361"/>
      <c r="AD29" s="361"/>
      <c r="AE29" s="361"/>
      <c r="AF29" s="361">
        <v>118.59</v>
      </c>
      <c r="AG29" s="361">
        <v>36.409999999999997</v>
      </c>
      <c r="AH29" s="361">
        <v>6.24</v>
      </c>
      <c r="AI29" s="361">
        <v>161.24</v>
      </c>
      <c r="AJ29" s="361">
        <v>134.41999999999999</v>
      </c>
      <c r="AK29" s="361">
        <v>44.09</v>
      </c>
      <c r="AL29" s="361">
        <v>7.4</v>
      </c>
      <c r="AM29" s="361">
        <v>185.91</v>
      </c>
      <c r="AN29" s="361">
        <v>133.06</v>
      </c>
      <c r="AO29" s="361">
        <v>47.9</v>
      </c>
      <c r="AP29" s="361">
        <v>8</v>
      </c>
      <c r="AQ29" s="361">
        <v>188.96</v>
      </c>
      <c r="AR29" s="1829" t="s">
        <v>2722</v>
      </c>
    </row>
    <row r="30" spans="19:44">
      <c r="S30" s="1831" t="s">
        <v>1611</v>
      </c>
      <c r="T30" s="1818"/>
      <c r="U30" s="1818"/>
      <c r="V30" s="1818"/>
      <c r="W30" s="1818"/>
      <c r="X30" s="1818"/>
      <c r="Y30" s="1818"/>
      <c r="Z30" s="1818"/>
      <c r="AA30" s="1818"/>
      <c r="AB30" s="1818"/>
      <c r="AC30" s="1818"/>
      <c r="AD30" s="1818"/>
      <c r="AE30" s="1818"/>
      <c r="AF30" s="361">
        <v>111.79</v>
      </c>
      <c r="AG30" s="361">
        <v>19.23</v>
      </c>
      <c r="AH30" s="361">
        <v>6.37</v>
      </c>
      <c r="AI30" s="361">
        <v>137.38999999999999</v>
      </c>
      <c r="AJ30" s="361">
        <v>102.93</v>
      </c>
      <c r="AK30" s="361">
        <v>25.54</v>
      </c>
      <c r="AL30" s="361">
        <v>7.32</v>
      </c>
      <c r="AM30" s="361">
        <v>135.79</v>
      </c>
      <c r="AN30" s="361">
        <v>99.39</v>
      </c>
      <c r="AO30" s="361">
        <v>23.87</v>
      </c>
      <c r="AP30" s="361">
        <v>6.89</v>
      </c>
      <c r="AQ30" s="361">
        <v>130.15</v>
      </c>
      <c r="AR30" s="1829" t="s">
        <v>2723</v>
      </c>
    </row>
    <row r="31" spans="19:44">
      <c r="S31" s="1831" t="s">
        <v>2724</v>
      </c>
      <c r="T31" s="361"/>
      <c r="U31" s="361"/>
      <c r="V31" s="361"/>
      <c r="W31" s="361"/>
      <c r="X31" s="361"/>
      <c r="Y31" s="361"/>
      <c r="Z31" s="361"/>
      <c r="AA31" s="361"/>
      <c r="AB31" s="361"/>
      <c r="AC31" s="361"/>
      <c r="AD31" s="361"/>
      <c r="AE31" s="361"/>
      <c r="AF31" s="361">
        <v>41.04</v>
      </c>
      <c r="AG31" s="361">
        <v>10.69</v>
      </c>
      <c r="AH31" s="361">
        <v>10.06</v>
      </c>
      <c r="AI31" s="361">
        <v>61.79</v>
      </c>
      <c r="AJ31" s="361">
        <v>41.86</v>
      </c>
      <c r="AK31" s="361">
        <v>11.35</v>
      </c>
      <c r="AL31" s="361">
        <v>10.88</v>
      </c>
      <c r="AM31" s="361">
        <v>64.09</v>
      </c>
      <c r="AN31" s="361">
        <v>41.2</v>
      </c>
      <c r="AO31" s="361">
        <v>12.28</v>
      </c>
      <c r="AP31" s="361">
        <v>11.2</v>
      </c>
      <c r="AQ31" s="361">
        <v>64.680000000000007</v>
      </c>
      <c r="AR31" s="1829" t="s">
        <v>2725</v>
      </c>
    </row>
    <row r="32" spans="19:44">
      <c r="S32" s="1831" t="s">
        <v>2726</v>
      </c>
      <c r="T32" s="361"/>
      <c r="U32" s="361"/>
      <c r="V32" s="361"/>
      <c r="W32" s="361"/>
      <c r="X32" s="361"/>
      <c r="Y32" s="361"/>
      <c r="Z32" s="361"/>
      <c r="AA32" s="361"/>
      <c r="AB32" s="361"/>
      <c r="AC32" s="361"/>
      <c r="AD32" s="361"/>
      <c r="AE32" s="361"/>
      <c r="AF32" s="361">
        <v>36.799999999999997</v>
      </c>
      <c r="AG32" s="361">
        <v>12.06</v>
      </c>
      <c r="AH32" s="361">
        <v>8.33</v>
      </c>
      <c r="AI32" s="361">
        <v>57.19</v>
      </c>
      <c r="AJ32" s="361">
        <v>26.62</v>
      </c>
      <c r="AK32" s="361">
        <v>8.82</v>
      </c>
      <c r="AL32" s="361">
        <v>5.86</v>
      </c>
      <c r="AM32" s="361">
        <v>41.3</v>
      </c>
      <c r="AN32" s="361">
        <v>59.73</v>
      </c>
      <c r="AO32" s="361">
        <v>19.66</v>
      </c>
      <c r="AP32" s="361">
        <v>15.1</v>
      </c>
      <c r="AQ32" s="361">
        <v>94.49</v>
      </c>
      <c r="AR32" s="1829" t="s">
        <v>26</v>
      </c>
    </row>
    <row r="33" spans="19:44">
      <c r="S33" s="1831" t="s">
        <v>1157</v>
      </c>
      <c r="T33" s="361"/>
      <c r="U33" s="361"/>
      <c r="V33" s="361"/>
      <c r="W33" s="361"/>
      <c r="X33" s="361"/>
      <c r="Y33" s="361"/>
      <c r="Z33" s="361"/>
      <c r="AA33" s="361"/>
      <c r="AB33" s="361"/>
      <c r="AC33" s="361"/>
      <c r="AD33" s="361"/>
      <c r="AE33" s="361"/>
      <c r="AF33" s="361">
        <v>101.21</v>
      </c>
      <c r="AG33" s="361">
        <v>13.25</v>
      </c>
      <c r="AH33" s="361">
        <v>3.36</v>
      </c>
      <c r="AI33" s="361">
        <v>117.83</v>
      </c>
      <c r="AJ33" s="361">
        <v>126.58</v>
      </c>
      <c r="AK33" s="361">
        <v>21.15</v>
      </c>
      <c r="AL33" s="361">
        <v>3.3</v>
      </c>
      <c r="AM33" s="361">
        <v>151.03</v>
      </c>
      <c r="AN33" s="361">
        <v>110.46</v>
      </c>
      <c r="AO33" s="361">
        <v>17.53</v>
      </c>
      <c r="AP33" s="361">
        <v>2.99</v>
      </c>
      <c r="AQ33" s="361">
        <v>130.97999999999999</v>
      </c>
      <c r="AR33" s="1829" t="s">
        <v>2727</v>
      </c>
    </row>
    <row r="34" spans="19:44">
      <c r="S34" s="1831" t="s">
        <v>1158</v>
      </c>
      <c r="T34" s="361"/>
      <c r="U34" s="361"/>
      <c r="V34" s="361"/>
      <c r="W34" s="361"/>
      <c r="X34" s="361"/>
      <c r="Y34" s="361"/>
      <c r="Z34" s="361"/>
      <c r="AA34" s="361"/>
      <c r="AB34" s="361"/>
      <c r="AC34" s="361"/>
      <c r="AD34" s="361"/>
      <c r="AE34" s="361"/>
      <c r="AF34" s="361"/>
      <c r="AG34" s="361"/>
      <c r="AH34" s="361"/>
      <c r="AI34" s="361"/>
      <c r="AJ34" s="361"/>
      <c r="AK34" s="361"/>
      <c r="AL34" s="361"/>
      <c r="AM34" s="361"/>
      <c r="AN34" s="361"/>
      <c r="AO34" s="361"/>
      <c r="AP34" s="361"/>
      <c r="AQ34" s="361"/>
      <c r="AR34" s="1829" t="s">
        <v>38</v>
      </c>
    </row>
    <row r="35" spans="19:44" ht="15.75" thickBot="1">
      <c r="S35" s="1840" t="s">
        <v>2728</v>
      </c>
      <c r="T35" s="1841"/>
      <c r="U35" s="1841"/>
      <c r="V35" s="1841"/>
      <c r="W35" s="1841"/>
      <c r="X35" s="1841"/>
      <c r="Y35" s="1841"/>
      <c r="Z35" s="1841"/>
      <c r="AA35" s="1841"/>
      <c r="AB35" s="1841"/>
      <c r="AC35" s="1841"/>
      <c r="AD35" s="1841"/>
      <c r="AE35" s="1841"/>
      <c r="AF35" s="1842">
        <v>132.51</v>
      </c>
      <c r="AG35" s="1842">
        <v>37.090000000000003</v>
      </c>
      <c r="AH35" s="1842">
        <v>6.48</v>
      </c>
      <c r="AI35" s="1842">
        <v>176.09</v>
      </c>
      <c r="AJ35" s="1842">
        <v>140.80000000000001</v>
      </c>
      <c r="AK35" s="1842">
        <v>42.08</v>
      </c>
      <c r="AL35" s="1842">
        <v>6.83</v>
      </c>
      <c r="AM35" s="1842">
        <v>189.71</v>
      </c>
      <c r="AN35" s="1842">
        <v>141.54</v>
      </c>
      <c r="AO35" s="1842">
        <v>45.62</v>
      </c>
      <c r="AP35" s="1842">
        <v>7.87</v>
      </c>
      <c r="AQ35" s="1842">
        <v>195.03</v>
      </c>
      <c r="AR35" s="1684" t="s">
        <v>2750</v>
      </c>
    </row>
    <row r="36" spans="19:44" ht="15.75" thickTop="1">
      <c r="S36" s="1843"/>
      <c r="T36" s="1844"/>
      <c r="U36" s="1844"/>
      <c r="V36" s="1844"/>
      <c r="W36" s="1844"/>
      <c r="X36" s="1844"/>
      <c r="Y36" s="1844"/>
      <c r="Z36" s="1844"/>
      <c r="AA36" s="1844"/>
      <c r="AB36" s="1844"/>
      <c r="AC36" s="1844"/>
      <c r="AD36" s="1844"/>
      <c r="AE36" s="1845"/>
      <c r="AF36" s="1846"/>
      <c r="AG36" s="1847"/>
      <c r="AH36" s="1847"/>
      <c r="AI36" s="1847"/>
      <c r="AJ36" s="1847"/>
      <c r="AK36" s="1847"/>
      <c r="AL36" s="1847"/>
      <c r="AM36" s="1847"/>
      <c r="AN36" s="1847"/>
      <c r="AO36" s="1847"/>
      <c r="AP36" s="1847"/>
      <c r="AQ36" s="1848"/>
      <c r="AR36" s="1849"/>
    </row>
    <row r="37" spans="19:44">
      <c r="S37" s="1833" t="s">
        <v>315</v>
      </c>
      <c r="T37" s="1834"/>
      <c r="U37" s="1834"/>
      <c r="V37" s="1834"/>
      <c r="W37" s="1834"/>
      <c r="X37" s="1834"/>
      <c r="Y37" s="1834"/>
      <c r="Z37" s="1834"/>
      <c r="AA37" s="1834"/>
      <c r="AB37" s="1834"/>
      <c r="AC37" s="1834"/>
      <c r="AD37" s="1834"/>
      <c r="AE37" s="1835"/>
      <c r="AF37" s="1836"/>
      <c r="AG37" s="1837"/>
      <c r="AH37" s="1837"/>
      <c r="AI37" s="1837"/>
      <c r="AJ37" s="1837"/>
      <c r="AK37" s="1837"/>
      <c r="AL37" s="1837"/>
      <c r="AM37" s="1837"/>
      <c r="AN37" s="1837"/>
      <c r="AO37" s="1837"/>
      <c r="AP37" s="1837"/>
      <c r="AQ37" s="1838"/>
      <c r="AR37" s="1839" t="s">
        <v>2729</v>
      </c>
    </row>
    <row r="38" spans="19:44">
      <c r="S38" s="1831" t="s">
        <v>809</v>
      </c>
      <c r="T38" s="361"/>
      <c r="U38" s="361"/>
      <c r="V38" s="361"/>
      <c r="W38" s="361"/>
      <c r="X38" s="361"/>
      <c r="Y38" s="361"/>
      <c r="Z38" s="361"/>
      <c r="AA38" s="361"/>
      <c r="AB38" s="361"/>
      <c r="AC38" s="361"/>
      <c r="AD38" s="361"/>
      <c r="AE38" s="361"/>
      <c r="AF38" s="1821">
        <v>156.47999999999999</v>
      </c>
      <c r="AG38" s="1821">
        <v>46.04</v>
      </c>
      <c r="AH38" s="1821">
        <v>17.850000000000001</v>
      </c>
      <c r="AI38" s="1821">
        <v>220.37</v>
      </c>
      <c r="AJ38" s="1821">
        <v>151.01</v>
      </c>
      <c r="AK38" s="1821">
        <v>51.75</v>
      </c>
      <c r="AL38" s="1821">
        <v>19.78</v>
      </c>
      <c r="AM38" s="1821">
        <v>222.54</v>
      </c>
      <c r="AN38" s="1821">
        <v>136.41999999999999</v>
      </c>
      <c r="AO38" s="1821">
        <v>48.61</v>
      </c>
      <c r="AP38" s="1821">
        <v>17.8</v>
      </c>
      <c r="AQ38" s="1821">
        <v>202.83</v>
      </c>
      <c r="AR38" s="1829" t="s">
        <v>22</v>
      </c>
    </row>
    <row r="39" spans="19:44">
      <c r="S39" s="1831" t="s">
        <v>155</v>
      </c>
      <c r="T39" s="361"/>
      <c r="U39" s="361"/>
      <c r="V39" s="361"/>
      <c r="W39" s="361"/>
      <c r="X39" s="361"/>
      <c r="Y39" s="361"/>
      <c r="Z39" s="361"/>
      <c r="AA39" s="361"/>
      <c r="AB39" s="361"/>
      <c r="AC39" s="361"/>
      <c r="AD39" s="361"/>
      <c r="AE39" s="361"/>
      <c r="AF39" s="361">
        <v>41.74</v>
      </c>
      <c r="AG39" s="361">
        <v>12.87</v>
      </c>
      <c r="AH39" s="361">
        <v>1.63</v>
      </c>
      <c r="AI39" s="361">
        <v>56.23</v>
      </c>
      <c r="AJ39" s="361">
        <v>35.82</v>
      </c>
      <c r="AK39" s="361">
        <v>12.27</v>
      </c>
      <c r="AL39" s="361">
        <v>1.25</v>
      </c>
      <c r="AM39" s="361">
        <v>49.33</v>
      </c>
      <c r="AN39" s="361">
        <v>34.619999999999997</v>
      </c>
      <c r="AO39" s="361">
        <v>13.98</v>
      </c>
      <c r="AP39" s="361">
        <v>1.37</v>
      </c>
      <c r="AQ39" s="361">
        <v>49.98</v>
      </c>
      <c r="AR39" s="1829" t="s">
        <v>2730</v>
      </c>
    </row>
    <row r="40" spans="19:44">
      <c r="S40" s="1831" t="s">
        <v>856</v>
      </c>
      <c r="T40" s="361"/>
      <c r="U40" s="361"/>
      <c r="V40" s="361"/>
      <c r="W40" s="361"/>
      <c r="X40" s="361"/>
      <c r="Y40" s="361"/>
      <c r="Z40" s="361"/>
      <c r="AA40" s="361"/>
      <c r="AB40" s="361"/>
      <c r="AC40" s="361"/>
      <c r="AD40" s="361"/>
      <c r="AE40" s="361"/>
      <c r="AF40" s="361">
        <v>38.83</v>
      </c>
      <c r="AG40" s="361">
        <v>16.57</v>
      </c>
      <c r="AH40" s="361">
        <v>8.3800000000000008</v>
      </c>
      <c r="AI40" s="361">
        <v>63.78</v>
      </c>
      <c r="AJ40" s="361">
        <v>40.56</v>
      </c>
      <c r="AK40" s="361">
        <v>17.61</v>
      </c>
      <c r="AL40" s="361">
        <v>8.73</v>
      </c>
      <c r="AM40" s="361">
        <v>66.91</v>
      </c>
      <c r="AN40" s="361">
        <v>38.67</v>
      </c>
      <c r="AO40" s="361">
        <v>19.920000000000002</v>
      </c>
      <c r="AP40" s="361">
        <v>9.4700000000000006</v>
      </c>
      <c r="AQ40" s="361">
        <v>68.06</v>
      </c>
      <c r="AR40" s="1829" t="s">
        <v>9</v>
      </c>
    </row>
    <row r="41" spans="19:44">
      <c r="S41" s="1831" t="s">
        <v>219</v>
      </c>
      <c r="T41" s="361"/>
      <c r="U41" s="361"/>
      <c r="V41" s="361"/>
      <c r="W41" s="361"/>
      <c r="X41" s="361"/>
      <c r="Y41" s="361"/>
      <c r="Z41" s="361"/>
      <c r="AA41" s="361"/>
      <c r="AB41" s="361"/>
      <c r="AC41" s="361"/>
      <c r="AD41" s="361"/>
      <c r="AE41" s="361"/>
      <c r="AF41" s="361">
        <v>80.69</v>
      </c>
      <c r="AG41" s="361">
        <v>42.05</v>
      </c>
      <c r="AH41" s="361">
        <v>34.08</v>
      </c>
      <c r="AI41" s="361">
        <v>156.82</v>
      </c>
      <c r="AJ41" s="361">
        <v>82.95</v>
      </c>
      <c r="AK41" s="361">
        <v>48.34</v>
      </c>
      <c r="AL41" s="361">
        <v>36.6</v>
      </c>
      <c r="AM41" s="361">
        <v>167.89</v>
      </c>
      <c r="AN41" s="361">
        <v>83.93</v>
      </c>
      <c r="AO41" s="361">
        <v>54.36</v>
      </c>
      <c r="AP41" s="361">
        <v>43.86</v>
      </c>
      <c r="AQ41" s="361">
        <v>182.15</v>
      </c>
      <c r="AR41" s="1829" t="s">
        <v>2731</v>
      </c>
    </row>
    <row r="42" spans="19:44">
      <c r="S42" s="1826" t="s">
        <v>2732</v>
      </c>
      <c r="T42" s="361"/>
      <c r="U42" s="361"/>
      <c r="V42" s="361"/>
      <c r="W42" s="361"/>
      <c r="X42" s="361"/>
      <c r="Y42" s="361"/>
      <c r="Z42" s="361"/>
      <c r="AA42" s="361"/>
      <c r="AB42" s="361"/>
      <c r="AC42" s="361"/>
      <c r="AD42" s="361"/>
      <c r="AE42" s="361"/>
      <c r="AF42" s="1820">
        <v>85.11</v>
      </c>
      <c r="AG42" s="1820">
        <v>32.76</v>
      </c>
      <c r="AH42" s="1820">
        <v>18.91</v>
      </c>
      <c r="AI42" s="1820">
        <v>136.78</v>
      </c>
      <c r="AJ42" s="1820">
        <v>83.59</v>
      </c>
      <c r="AK42" s="1820">
        <v>36.04</v>
      </c>
      <c r="AL42" s="1820">
        <v>19.68</v>
      </c>
      <c r="AM42" s="1820">
        <v>139.32</v>
      </c>
      <c r="AN42" s="1820">
        <v>80.28</v>
      </c>
      <c r="AO42" s="1820">
        <v>37.799999999999997</v>
      </c>
      <c r="AP42" s="1820">
        <v>21.08</v>
      </c>
      <c r="AQ42" s="1820">
        <v>139.16</v>
      </c>
      <c r="AR42" s="1829" t="s">
        <v>2733</v>
      </c>
    </row>
    <row r="43" spans="19:44">
      <c r="S43" s="1826" t="s">
        <v>2734</v>
      </c>
      <c r="T43" s="361"/>
      <c r="U43" s="361"/>
      <c r="V43" s="361"/>
      <c r="W43" s="361"/>
      <c r="X43" s="361"/>
      <c r="Y43" s="361"/>
      <c r="Z43" s="361"/>
      <c r="AA43" s="361"/>
      <c r="AB43" s="361"/>
      <c r="AC43" s="361"/>
      <c r="AD43" s="361"/>
      <c r="AE43" s="362"/>
      <c r="AF43" s="362"/>
      <c r="AG43" s="1822"/>
      <c r="AH43" s="1822"/>
      <c r="AI43" s="1822"/>
      <c r="AJ43" s="1822"/>
      <c r="AK43" s="1822"/>
      <c r="AL43" s="1822"/>
      <c r="AM43" s="1822"/>
      <c r="AN43" s="1822"/>
      <c r="AO43" s="1822"/>
      <c r="AP43" s="1822"/>
      <c r="AQ43" s="1823"/>
      <c r="AR43" s="1832" t="s">
        <v>2735</v>
      </c>
    </row>
    <row r="44" spans="19:44">
      <c r="S44" s="1831" t="s">
        <v>215</v>
      </c>
      <c r="T44" s="361"/>
      <c r="U44" s="361"/>
      <c r="V44" s="361"/>
      <c r="W44" s="361"/>
      <c r="X44" s="361"/>
      <c r="Y44" s="361"/>
      <c r="Z44" s="361"/>
      <c r="AA44" s="361"/>
      <c r="AB44" s="361"/>
      <c r="AC44" s="361"/>
      <c r="AD44" s="361"/>
      <c r="AE44" s="361"/>
      <c r="AF44" s="1821">
        <v>50.36</v>
      </c>
      <c r="AG44" s="1821">
        <v>11.42</v>
      </c>
      <c r="AH44" s="1821">
        <v>12.2</v>
      </c>
      <c r="AI44" s="1821">
        <v>73.989999999999995</v>
      </c>
      <c r="AJ44" s="1821">
        <v>39.99</v>
      </c>
      <c r="AK44" s="1821">
        <v>11.03</v>
      </c>
      <c r="AL44" s="1821">
        <v>10.23</v>
      </c>
      <c r="AM44" s="1821">
        <v>61.25</v>
      </c>
      <c r="AN44" s="1821">
        <v>35.68</v>
      </c>
      <c r="AO44" s="1821">
        <v>11.13</v>
      </c>
      <c r="AP44" s="1821">
        <v>10</v>
      </c>
      <c r="AQ44" s="1821">
        <v>56.81</v>
      </c>
      <c r="AR44" s="1829" t="s">
        <v>2736</v>
      </c>
    </row>
    <row r="45" spans="19:44">
      <c r="S45" s="1831" t="s">
        <v>1136</v>
      </c>
      <c r="T45" s="361"/>
      <c r="U45" s="361"/>
      <c r="V45" s="361"/>
      <c r="W45" s="361"/>
      <c r="X45" s="361"/>
      <c r="Y45" s="361"/>
      <c r="Z45" s="361"/>
      <c r="AA45" s="361"/>
      <c r="AB45" s="361"/>
      <c r="AC45" s="361"/>
      <c r="AD45" s="361"/>
      <c r="AE45" s="361"/>
      <c r="AF45" s="361">
        <v>21.87</v>
      </c>
      <c r="AG45" s="361">
        <v>7.86</v>
      </c>
      <c r="AH45" s="361">
        <v>2.54</v>
      </c>
      <c r="AI45" s="361">
        <v>32.270000000000003</v>
      </c>
      <c r="AJ45" s="361">
        <v>16.77</v>
      </c>
      <c r="AK45" s="361">
        <v>10.79</v>
      </c>
      <c r="AL45" s="361">
        <v>10.14</v>
      </c>
      <c r="AM45" s="361">
        <v>37.700000000000003</v>
      </c>
      <c r="AN45" s="361">
        <v>13.82</v>
      </c>
      <c r="AO45" s="361">
        <v>11.75</v>
      </c>
      <c r="AP45" s="361">
        <v>4.92</v>
      </c>
      <c r="AQ45" s="361">
        <v>30.5</v>
      </c>
      <c r="AR45" s="1829" t="s">
        <v>2737</v>
      </c>
    </row>
    <row r="46" spans="19:44">
      <c r="S46" s="1831" t="s">
        <v>1137</v>
      </c>
      <c r="T46" s="361"/>
      <c r="U46" s="361"/>
      <c r="V46" s="361"/>
      <c r="W46" s="361"/>
      <c r="X46" s="361"/>
      <c r="Y46" s="361"/>
      <c r="Z46" s="361"/>
      <c r="AA46" s="361"/>
      <c r="AB46" s="361"/>
      <c r="AC46" s="361"/>
      <c r="AD46" s="361"/>
      <c r="AE46" s="361"/>
      <c r="AF46" s="361">
        <v>31.6</v>
      </c>
      <c r="AG46" s="361">
        <v>1.27</v>
      </c>
      <c r="AH46" s="361">
        <v>0.28000000000000003</v>
      </c>
      <c r="AI46" s="361">
        <v>33.15</v>
      </c>
      <c r="AJ46" s="361">
        <v>35.07</v>
      </c>
      <c r="AK46" s="361">
        <v>10.119999999999999</v>
      </c>
      <c r="AL46" s="361">
        <v>2.68</v>
      </c>
      <c r="AM46" s="361">
        <v>47.88</v>
      </c>
      <c r="AN46" s="361">
        <v>29.13</v>
      </c>
      <c r="AO46" s="361">
        <v>6.89</v>
      </c>
      <c r="AP46" s="361">
        <v>4.37</v>
      </c>
      <c r="AQ46" s="361">
        <v>40.39</v>
      </c>
      <c r="AR46" s="1829" t="s">
        <v>2738</v>
      </c>
    </row>
    <row r="47" spans="19:44">
      <c r="S47" s="1831" t="s">
        <v>908</v>
      </c>
      <c r="T47" s="1818"/>
      <c r="U47" s="1818"/>
      <c r="V47" s="1818"/>
      <c r="W47" s="1818"/>
      <c r="X47" s="1818"/>
      <c r="Y47" s="1818"/>
      <c r="Z47" s="1818"/>
      <c r="AA47" s="1818"/>
      <c r="AB47" s="1818"/>
      <c r="AC47" s="1818"/>
      <c r="AD47" s="1818"/>
      <c r="AE47" s="1818"/>
      <c r="AF47" s="361">
        <v>0</v>
      </c>
      <c r="AG47" s="361">
        <v>0</v>
      </c>
      <c r="AH47" s="361">
        <v>0</v>
      </c>
      <c r="AI47" s="361">
        <v>0</v>
      </c>
      <c r="AJ47" s="361">
        <v>0</v>
      </c>
      <c r="AK47" s="361">
        <v>0</v>
      </c>
      <c r="AL47" s="361">
        <v>0</v>
      </c>
      <c r="AM47" s="361">
        <v>0</v>
      </c>
      <c r="AN47" s="361"/>
      <c r="AO47" s="361"/>
      <c r="AP47" s="361"/>
      <c r="AQ47" s="361"/>
      <c r="AR47" s="1829" t="s">
        <v>2739</v>
      </c>
    </row>
    <row r="48" spans="19:44">
      <c r="S48" s="1831" t="s">
        <v>2740</v>
      </c>
      <c r="T48" s="1818"/>
      <c r="U48" s="1818"/>
      <c r="V48" s="1818"/>
      <c r="W48" s="1818"/>
      <c r="X48" s="1818"/>
      <c r="Y48" s="1818"/>
      <c r="Z48" s="1818"/>
      <c r="AA48" s="1818"/>
      <c r="AB48" s="1818"/>
      <c r="AC48" s="1818"/>
      <c r="AD48" s="1818"/>
      <c r="AE48" s="1818"/>
      <c r="AF48" s="361">
        <v>0.61</v>
      </c>
      <c r="AG48" s="361">
        <v>0.03</v>
      </c>
      <c r="AH48" s="361">
        <v>0</v>
      </c>
      <c r="AI48" s="361">
        <v>0.64</v>
      </c>
      <c r="AJ48" s="361"/>
      <c r="AK48" s="361"/>
      <c r="AL48" s="361"/>
      <c r="AM48" s="361"/>
      <c r="AN48" s="361"/>
      <c r="AO48" s="361"/>
      <c r="AP48" s="361"/>
      <c r="AQ48" s="361"/>
      <c r="AR48" s="1829" t="s">
        <v>2741</v>
      </c>
    </row>
    <row r="49" spans="19:44">
      <c r="S49" s="1831" t="s">
        <v>2742</v>
      </c>
      <c r="T49" s="361"/>
      <c r="U49" s="1819"/>
      <c r="V49" s="1819"/>
      <c r="W49" s="1819"/>
      <c r="X49" s="1819"/>
      <c r="Y49" s="1819"/>
      <c r="Z49" s="1819"/>
      <c r="AA49" s="1819"/>
      <c r="AB49" s="1819"/>
      <c r="AC49" s="1819"/>
      <c r="AD49" s="1819"/>
      <c r="AE49" s="1819"/>
      <c r="AF49" s="361">
        <v>0</v>
      </c>
      <c r="AG49" s="361">
        <v>0</v>
      </c>
      <c r="AH49" s="361">
        <v>0</v>
      </c>
      <c r="AI49" s="361">
        <v>0</v>
      </c>
      <c r="AJ49" s="361"/>
      <c r="AK49" s="361"/>
      <c r="AL49" s="361"/>
      <c r="AM49" s="361"/>
      <c r="AN49" s="361"/>
      <c r="AO49" s="361"/>
      <c r="AP49" s="361"/>
      <c r="AQ49" s="361"/>
      <c r="AR49" s="1829" t="s">
        <v>2743</v>
      </c>
    </row>
    <row r="50" spans="19:44">
      <c r="S50" s="1831" t="s">
        <v>217</v>
      </c>
      <c r="T50" s="361"/>
      <c r="U50" s="361"/>
      <c r="V50" s="361"/>
      <c r="W50" s="361"/>
      <c r="X50" s="361"/>
      <c r="Y50" s="361"/>
      <c r="Z50" s="361"/>
      <c r="AA50" s="361"/>
      <c r="AB50" s="361"/>
      <c r="AC50" s="361"/>
      <c r="AD50" s="361"/>
      <c r="AE50" s="361"/>
      <c r="AF50" s="361">
        <v>47.73</v>
      </c>
      <c r="AG50" s="361">
        <v>0.71</v>
      </c>
      <c r="AH50" s="361">
        <v>0.08</v>
      </c>
      <c r="AI50" s="361">
        <v>48.51</v>
      </c>
      <c r="AJ50" s="361">
        <v>29.62</v>
      </c>
      <c r="AK50" s="361">
        <v>1.65</v>
      </c>
      <c r="AL50" s="361">
        <v>0.71</v>
      </c>
      <c r="AM50" s="361">
        <v>31.97</v>
      </c>
      <c r="AN50" s="361">
        <v>7.76</v>
      </c>
      <c r="AO50" s="361">
        <v>1.02</v>
      </c>
      <c r="AP50" s="361">
        <v>0</v>
      </c>
      <c r="AQ50" s="361">
        <v>8.7799999999999994</v>
      </c>
      <c r="AR50" s="1829" t="s">
        <v>2744</v>
      </c>
    </row>
    <row r="51" spans="19:44">
      <c r="S51" s="1831" t="s">
        <v>1139</v>
      </c>
      <c r="T51" s="361"/>
      <c r="U51" s="361"/>
      <c r="V51" s="361"/>
      <c r="W51" s="361"/>
      <c r="X51" s="361"/>
      <c r="Y51" s="361"/>
      <c r="Z51" s="361"/>
      <c r="AA51" s="361"/>
      <c r="AB51" s="361"/>
      <c r="AC51" s="361"/>
      <c r="AD51" s="361"/>
      <c r="AE51" s="361"/>
      <c r="AF51" s="361"/>
      <c r="AG51" s="361"/>
      <c r="AH51" s="361"/>
      <c r="AI51" s="361"/>
      <c r="AJ51" s="361"/>
      <c r="AK51" s="361"/>
      <c r="AL51" s="361"/>
      <c r="AM51" s="361"/>
      <c r="AN51" s="361"/>
      <c r="AO51" s="361"/>
      <c r="AP51" s="361"/>
      <c r="AQ51" s="361"/>
      <c r="AR51" s="1829" t="s">
        <v>2745</v>
      </c>
    </row>
    <row r="52" spans="19:44">
      <c r="S52" s="1831" t="s">
        <v>2746</v>
      </c>
      <c r="T52" s="361"/>
      <c r="U52" s="361"/>
      <c r="V52" s="361"/>
      <c r="W52" s="361"/>
      <c r="X52" s="361"/>
      <c r="Y52" s="361"/>
      <c r="Z52" s="361"/>
      <c r="AA52" s="361"/>
      <c r="AB52" s="361"/>
      <c r="AC52" s="361"/>
      <c r="AD52" s="361"/>
      <c r="AE52" s="361"/>
      <c r="AF52" s="1818">
        <v>41.55</v>
      </c>
      <c r="AG52" s="1818">
        <v>9.1199999999999992</v>
      </c>
      <c r="AH52" s="1818">
        <v>9.1</v>
      </c>
      <c r="AI52" s="1818">
        <v>59.78</v>
      </c>
      <c r="AJ52" s="1818">
        <v>33.32</v>
      </c>
      <c r="AK52" s="1818">
        <v>9.6</v>
      </c>
      <c r="AL52" s="1818">
        <v>8.5</v>
      </c>
      <c r="AM52" s="1818">
        <v>51.42</v>
      </c>
      <c r="AN52" s="1818">
        <v>32.130000000000003</v>
      </c>
      <c r="AO52" s="1818">
        <v>10.49</v>
      </c>
      <c r="AP52" s="1818">
        <v>8.81</v>
      </c>
      <c r="AQ52" s="1818">
        <v>51.44</v>
      </c>
      <c r="AR52" s="1829" t="s">
        <v>2747</v>
      </c>
    </row>
    <row r="53" spans="19:44">
      <c r="S53" s="1831" t="s">
        <v>2748</v>
      </c>
      <c r="T53" s="361"/>
      <c r="U53" s="361"/>
      <c r="V53" s="361"/>
      <c r="W53" s="361"/>
      <c r="X53" s="361"/>
      <c r="Y53" s="361"/>
      <c r="Z53" s="361"/>
      <c r="AA53" s="361"/>
      <c r="AB53" s="361"/>
      <c r="AC53" s="361"/>
      <c r="AD53" s="361"/>
      <c r="AE53" s="361"/>
      <c r="AF53" s="1818">
        <v>86.69</v>
      </c>
      <c r="AG53" s="1818">
        <v>33.200000000000003</v>
      </c>
      <c r="AH53" s="1818">
        <v>12.25</v>
      </c>
      <c r="AI53" s="1818">
        <v>132.13999999999999</v>
      </c>
      <c r="AJ53" s="1818">
        <v>83.11</v>
      </c>
      <c r="AK53" s="1818">
        <v>33.340000000000003</v>
      </c>
      <c r="AL53" s="1818">
        <v>11.34</v>
      </c>
      <c r="AM53" s="1818">
        <v>127.79</v>
      </c>
      <c r="AN53" s="1818">
        <v>86.01</v>
      </c>
      <c r="AO53" s="1818">
        <v>37.85</v>
      </c>
      <c r="AP53" s="1818">
        <v>13.29</v>
      </c>
      <c r="AQ53" s="1818">
        <v>137.15</v>
      </c>
      <c r="AR53" s="1829" t="s">
        <v>2749</v>
      </c>
    </row>
    <row r="54" spans="19:44">
      <c r="S54" s="1831"/>
      <c r="T54" s="361"/>
      <c r="U54" s="361"/>
      <c r="V54" s="361"/>
      <c r="W54" s="361"/>
      <c r="X54" s="361"/>
      <c r="Y54" s="361"/>
      <c r="Z54" s="361"/>
      <c r="AA54" s="361"/>
      <c r="AB54" s="361"/>
      <c r="AC54" s="361"/>
      <c r="AD54" s="361"/>
      <c r="AE54" s="361"/>
      <c r="AF54" s="361"/>
      <c r="AG54" s="792"/>
      <c r="AH54" s="792"/>
      <c r="AI54" s="792"/>
      <c r="AJ54" s="792"/>
      <c r="AK54" s="792"/>
      <c r="AL54" s="792"/>
      <c r="AM54" s="792"/>
      <c r="AN54" s="792"/>
      <c r="AO54" s="792"/>
      <c r="AP54" s="792"/>
      <c r="AQ54" s="792"/>
      <c r="AR54" s="1438"/>
    </row>
    <row r="55" spans="19:44">
      <c r="S55" s="1395" t="s">
        <v>2751</v>
      </c>
      <c r="T55" s="1804"/>
      <c r="U55" s="1804"/>
      <c r="V55" s="1804"/>
      <c r="W55" s="1804"/>
      <c r="X55" s="1804"/>
      <c r="Y55" s="1804"/>
      <c r="Z55" s="1804"/>
      <c r="AA55" s="1804"/>
      <c r="AB55" s="1804"/>
      <c r="AC55" s="1804"/>
      <c r="AD55" s="1804"/>
      <c r="AE55" s="1804"/>
      <c r="AF55" s="1804"/>
      <c r="AG55" s="1804"/>
      <c r="AH55" s="1804"/>
      <c r="AI55" s="1804"/>
      <c r="AJ55" s="1804"/>
      <c r="AK55" s="1804"/>
      <c r="AL55" s="1804"/>
      <c r="AM55" s="1804"/>
      <c r="AN55" s="1804"/>
      <c r="AO55" s="1804"/>
      <c r="AP55" s="1804"/>
      <c r="AQ55" s="1804"/>
      <c r="AR55" s="1137"/>
    </row>
    <row r="56" spans="19:44">
      <c r="S56" s="2215" t="s">
        <v>2752</v>
      </c>
      <c r="T56" s="2196"/>
      <c r="U56" s="2196"/>
      <c r="V56" s="2196"/>
      <c r="W56" s="2196"/>
      <c r="X56" s="2196"/>
      <c r="Y56" s="2196"/>
      <c r="Z56" s="2196"/>
      <c r="AA56" s="2196"/>
      <c r="AB56" s="2196"/>
      <c r="AC56" s="2196"/>
      <c r="AD56" s="2196"/>
      <c r="AE56" s="2196"/>
      <c r="AF56" s="2196"/>
      <c r="AG56" s="2196"/>
      <c r="AH56" s="2196"/>
      <c r="AI56" s="2196"/>
      <c r="AJ56" s="2196"/>
      <c r="AK56" s="2196"/>
      <c r="AL56" s="2196"/>
      <c r="AM56" s="2196"/>
      <c r="AN56" s="2196"/>
      <c r="AO56" s="2196"/>
      <c r="AP56" s="2196"/>
      <c r="AQ56" s="2196"/>
      <c r="AR56" s="2216"/>
    </row>
    <row r="57" spans="19:44" ht="15.75" thickBot="1">
      <c r="S57" s="954" t="s">
        <v>636</v>
      </c>
      <c r="T57" s="206"/>
      <c r="U57" s="206"/>
      <c r="V57" s="206"/>
      <c r="W57" s="206"/>
      <c r="X57" s="206"/>
      <c r="Y57" s="206"/>
      <c r="Z57" s="206"/>
      <c r="AA57" s="206"/>
      <c r="AB57" s="206"/>
      <c r="AC57" s="206"/>
      <c r="AD57" s="206" t="s">
        <v>2024</v>
      </c>
      <c r="AE57" s="206"/>
      <c r="AF57" s="206"/>
      <c r="AG57" s="206"/>
      <c r="AH57" s="206"/>
      <c r="AI57" s="206"/>
      <c r="AJ57" s="1396" t="s">
        <v>2023</v>
      </c>
      <c r="AK57" s="206"/>
      <c r="AL57" s="206"/>
      <c r="AM57" s="206"/>
      <c r="AN57" s="206"/>
      <c r="AO57" s="206"/>
      <c r="AP57" s="206"/>
      <c r="AQ57" s="206"/>
      <c r="AR57" s="168"/>
    </row>
    <row r="58" spans="19:44" ht="15.75" thickTop="1">
      <c r="S58" s="316"/>
      <c r="T58" s="1818"/>
      <c r="U58" s="1818"/>
      <c r="V58" s="1818"/>
      <c r="W58" s="1818"/>
      <c r="X58" s="1818"/>
      <c r="Y58" s="1818"/>
      <c r="Z58" s="1818"/>
      <c r="AA58" s="1818"/>
      <c r="AB58" s="1818"/>
      <c r="AC58" s="1818"/>
      <c r="AD58" s="1818"/>
      <c r="AE58" s="1818"/>
      <c r="AF58" s="316"/>
    </row>
    <row r="59" spans="19:44">
      <c r="S59" s="316"/>
      <c r="T59" s="316"/>
      <c r="U59" s="316"/>
      <c r="V59" s="316"/>
      <c r="W59" s="316"/>
      <c r="X59" s="316"/>
      <c r="Y59" s="316"/>
      <c r="Z59" s="316"/>
      <c r="AA59" s="316"/>
      <c r="AB59" s="316"/>
      <c r="AC59" s="316"/>
      <c r="AD59" s="316"/>
      <c r="AE59" s="316"/>
      <c r="AF59" s="316"/>
    </row>
    <row r="60" spans="19:44">
      <c r="S60" s="316"/>
      <c r="T60" s="361"/>
      <c r="U60" s="361"/>
      <c r="V60" s="361"/>
      <c r="W60" s="361"/>
      <c r="X60" s="361"/>
      <c r="Y60" s="361"/>
      <c r="Z60" s="361"/>
      <c r="AA60" s="361"/>
      <c r="AB60" s="361"/>
      <c r="AC60" s="361"/>
      <c r="AD60" s="361"/>
      <c r="AE60" s="361"/>
      <c r="AF60" s="316"/>
    </row>
    <row r="61" spans="19:44">
      <c r="S61" s="316"/>
      <c r="T61" s="361"/>
      <c r="U61" s="361"/>
      <c r="V61" s="361"/>
      <c r="W61" s="361"/>
      <c r="X61" s="361"/>
      <c r="Y61" s="361"/>
      <c r="Z61" s="361"/>
      <c r="AA61" s="361"/>
      <c r="AB61" s="361"/>
      <c r="AC61" s="361"/>
      <c r="AD61" s="361"/>
      <c r="AE61" s="361"/>
      <c r="AF61" s="316"/>
    </row>
    <row r="62" spans="19:44">
      <c r="S62" s="316"/>
      <c r="T62" s="361"/>
      <c r="U62" s="361"/>
      <c r="V62" s="361"/>
      <c r="W62" s="361"/>
      <c r="X62" s="361"/>
      <c r="Y62" s="361"/>
      <c r="Z62" s="361"/>
      <c r="AA62" s="361"/>
      <c r="AB62" s="361"/>
      <c r="AC62" s="361"/>
      <c r="AD62" s="361"/>
      <c r="AE62" s="361"/>
      <c r="AF62" s="316"/>
    </row>
    <row r="63" spans="19:44">
      <c r="S63" s="316"/>
      <c r="T63" s="361"/>
      <c r="U63" s="361"/>
      <c r="V63" s="361"/>
      <c r="W63" s="361"/>
      <c r="X63" s="361"/>
      <c r="Y63" s="361"/>
      <c r="Z63" s="361"/>
      <c r="AA63" s="361"/>
      <c r="AB63" s="361"/>
      <c r="AC63" s="361"/>
      <c r="AD63" s="361"/>
      <c r="AE63" s="361"/>
      <c r="AF63" s="316"/>
    </row>
    <row r="64" spans="19:44">
      <c r="S64" s="316"/>
      <c r="T64" s="361"/>
      <c r="U64" s="361"/>
      <c r="V64" s="361"/>
      <c r="W64" s="361"/>
      <c r="X64" s="361"/>
      <c r="Y64" s="361"/>
      <c r="Z64" s="361"/>
      <c r="AA64" s="361"/>
      <c r="AB64" s="361"/>
      <c r="AC64" s="361"/>
      <c r="AD64" s="361"/>
      <c r="AE64" s="361"/>
      <c r="AF64" s="316"/>
    </row>
    <row r="65" spans="19:32">
      <c r="S65" s="316"/>
      <c r="T65" s="361"/>
      <c r="U65" s="361"/>
      <c r="V65" s="361"/>
      <c r="W65" s="361"/>
      <c r="X65" s="361"/>
      <c r="Y65" s="361"/>
      <c r="Z65" s="361"/>
      <c r="AA65" s="361"/>
      <c r="AB65" s="361"/>
      <c r="AC65" s="361"/>
      <c r="AD65" s="361"/>
      <c r="AE65" s="361"/>
      <c r="AF65" s="316"/>
    </row>
    <row r="66" spans="19:32">
      <c r="S66" s="316"/>
      <c r="T66" s="361"/>
      <c r="U66" s="361"/>
      <c r="V66" s="361"/>
      <c r="W66" s="361"/>
      <c r="X66" s="361"/>
      <c r="Y66" s="361"/>
      <c r="Z66" s="361"/>
      <c r="AA66" s="361"/>
      <c r="AB66" s="361"/>
      <c r="AC66" s="361"/>
      <c r="AD66" s="361"/>
      <c r="AE66" s="361"/>
      <c r="AF66" s="316"/>
    </row>
    <row r="67" spans="19:32">
      <c r="S67" s="316"/>
      <c r="T67" s="361"/>
      <c r="U67" s="361"/>
      <c r="V67" s="361"/>
      <c r="W67" s="361"/>
      <c r="X67" s="361"/>
      <c r="Y67" s="361"/>
      <c r="Z67" s="361"/>
      <c r="AA67" s="361"/>
      <c r="AB67" s="361"/>
      <c r="AC67" s="361"/>
      <c r="AD67" s="361"/>
      <c r="AE67" s="361"/>
      <c r="AF67" s="316"/>
    </row>
    <row r="68" spans="19:32">
      <c r="S68" s="316"/>
      <c r="T68" s="1818"/>
      <c r="U68" s="1818"/>
      <c r="V68" s="1818"/>
      <c r="W68" s="1818"/>
      <c r="X68" s="1818"/>
      <c r="Y68" s="1818"/>
      <c r="Z68" s="1818"/>
      <c r="AA68" s="1818"/>
      <c r="AB68" s="1818"/>
      <c r="AC68" s="1818"/>
      <c r="AD68" s="1818"/>
      <c r="AE68" s="1818"/>
      <c r="AF68" s="316"/>
    </row>
    <row r="69" spans="19:32">
      <c r="S69" s="316"/>
      <c r="T69" s="361"/>
      <c r="U69" s="361"/>
      <c r="V69" s="361"/>
      <c r="W69" s="361"/>
      <c r="X69" s="361"/>
      <c r="Y69" s="361"/>
      <c r="Z69" s="361"/>
      <c r="AA69" s="361"/>
      <c r="AB69" s="361"/>
      <c r="AC69" s="361"/>
      <c r="AD69" s="361"/>
      <c r="AE69" s="361"/>
      <c r="AF69" s="316"/>
    </row>
    <row r="70" spans="19:32">
      <c r="S70" s="316"/>
      <c r="T70" s="361"/>
      <c r="U70" s="361"/>
      <c r="V70" s="361"/>
      <c r="W70" s="361"/>
      <c r="X70" s="361"/>
      <c r="Y70" s="361"/>
      <c r="Z70" s="361"/>
      <c r="AA70" s="361"/>
      <c r="AB70" s="361"/>
      <c r="AC70" s="361"/>
      <c r="AD70" s="361"/>
      <c r="AE70" s="361"/>
      <c r="AF70" s="316"/>
    </row>
    <row r="71" spans="19:32">
      <c r="S71" s="316"/>
      <c r="T71" s="361"/>
      <c r="U71" s="361"/>
      <c r="V71" s="361"/>
      <c r="W71" s="361"/>
      <c r="X71" s="361"/>
      <c r="Y71" s="361"/>
      <c r="Z71" s="361"/>
      <c r="AA71" s="361"/>
      <c r="AB71" s="361"/>
      <c r="AC71" s="361"/>
      <c r="AD71" s="361"/>
      <c r="AE71" s="361"/>
      <c r="AF71" s="316"/>
    </row>
    <row r="72" spans="19:32">
      <c r="S72" s="316"/>
      <c r="T72" s="361"/>
      <c r="U72" s="361"/>
      <c r="V72" s="361"/>
      <c r="W72" s="361"/>
      <c r="X72" s="361"/>
      <c r="Y72" s="361"/>
      <c r="Z72" s="361"/>
      <c r="AA72" s="361"/>
      <c r="AB72" s="361"/>
      <c r="AC72" s="361"/>
      <c r="AD72" s="361"/>
      <c r="AE72" s="361"/>
      <c r="AF72" s="316"/>
    </row>
    <row r="73" spans="19:32">
      <c r="S73" s="316"/>
      <c r="T73" s="361"/>
      <c r="U73" s="361"/>
      <c r="V73" s="361"/>
      <c r="W73" s="361"/>
      <c r="X73" s="361"/>
      <c r="Y73" s="361"/>
      <c r="Z73" s="361"/>
      <c r="AA73" s="361"/>
      <c r="AB73" s="361"/>
      <c r="AC73" s="361"/>
      <c r="AD73" s="361"/>
      <c r="AE73" s="361"/>
      <c r="AF73" s="316"/>
    </row>
    <row r="74" spans="19:32">
      <c r="S74" s="316"/>
      <c r="T74" s="361"/>
      <c r="U74" s="361"/>
      <c r="V74" s="361"/>
      <c r="W74" s="361"/>
      <c r="X74" s="361"/>
      <c r="Y74" s="361"/>
      <c r="Z74" s="361"/>
      <c r="AA74" s="361"/>
      <c r="AB74" s="361"/>
      <c r="AC74" s="361"/>
      <c r="AD74" s="361"/>
      <c r="AE74" s="361"/>
      <c r="AF74" s="316"/>
    </row>
    <row r="75" spans="19:32">
      <c r="S75" s="316"/>
      <c r="T75" s="361"/>
      <c r="U75" s="361"/>
      <c r="V75" s="361"/>
      <c r="W75" s="361"/>
      <c r="X75" s="361"/>
      <c r="Y75" s="361"/>
      <c r="Z75" s="361"/>
      <c r="AA75" s="361"/>
      <c r="AB75" s="361"/>
      <c r="AC75" s="361"/>
      <c r="AD75" s="361"/>
      <c r="AE75" s="361"/>
      <c r="AF75" s="316"/>
    </row>
    <row r="76" spans="19:32">
      <c r="S76" s="316"/>
      <c r="T76" s="361"/>
      <c r="U76" s="361"/>
      <c r="V76" s="361"/>
      <c r="W76" s="361"/>
      <c r="X76" s="361"/>
      <c r="Y76" s="361"/>
      <c r="Z76" s="361"/>
      <c r="AA76" s="361"/>
      <c r="AB76" s="361"/>
      <c r="AC76" s="361"/>
      <c r="AD76" s="361"/>
      <c r="AE76" s="361"/>
      <c r="AF76" s="316"/>
    </row>
    <row r="77" spans="19:32">
      <c r="S77" s="316"/>
      <c r="T77" s="361"/>
      <c r="U77" s="361"/>
      <c r="V77" s="361"/>
      <c r="W77" s="361"/>
      <c r="X77" s="361"/>
      <c r="Y77" s="361"/>
      <c r="Z77" s="361"/>
      <c r="AA77" s="361"/>
      <c r="AB77" s="361"/>
      <c r="AC77" s="361"/>
      <c r="AD77" s="361"/>
      <c r="AE77" s="361"/>
      <c r="AF77" s="316"/>
    </row>
    <row r="78" spans="19:32">
      <c r="S78" s="316"/>
      <c r="T78" s="1818"/>
      <c r="U78" s="1818"/>
      <c r="V78" s="1818"/>
      <c r="W78" s="1818"/>
      <c r="X78" s="1818"/>
      <c r="Y78" s="1818"/>
      <c r="Z78" s="1818"/>
      <c r="AA78" s="1818"/>
      <c r="AB78" s="1818"/>
      <c r="AC78" s="1818"/>
      <c r="AD78" s="1818"/>
      <c r="AE78" s="1818"/>
      <c r="AF78" s="316"/>
    </row>
    <row r="79" spans="19:32">
      <c r="S79" s="316"/>
      <c r="T79" s="361"/>
      <c r="U79" s="361"/>
      <c r="V79" s="361"/>
      <c r="W79" s="361"/>
      <c r="X79" s="361"/>
      <c r="Y79" s="361"/>
      <c r="Z79" s="361"/>
      <c r="AA79" s="361"/>
      <c r="AB79" s="361"/>
      <c r="AC79" s="361"/>
      <c r="AD79" s="361"/>
      <c r="AE79" s="361"/>
      <c r="AF79" s="316"/>
    </row>
    <row r="80" spans="19:32">
      <c r="S80" s="316"/>
      <c r="T80" s="361"/>
      <c r="U80" s="361"/>
      <c r="V80" s="361"/>
      <c r="W80" s="361"/>
      <c r="X80" s="361"/>
      <c r="Y80" s="361"/>
      <c r="Z80" s="361"/>
      <c r="AA80" s="361"/>
      <c r="AB80" s="361"/>
      <c r="AC80" s="361"/>
      <c r="AD80" s="361"/>
      <c r="AE80" s="361"/>
      <c r="AF80" s="316"/>
    </row>
    <row r="81" spans="19:32">
      <c r="S81" s="316"/>
      <c r="T81" s="361"/>
      <c r="U81" s="361"/>
      <c r="V81" s="361"/>
      <c r="W81" s="361"/>
      <c r="X81" s="361"/>
      <c r="Y81" s="361"/>
      <c r="Z81" s="361"/>
      <c r="AA81" s="361"/>
      <c r="AB81" s="361"/>
      <c r="AC81" s="361"/>
      <c r="AD81" s="361"/>
      <c r="AE81" s="361"/>
      <c r="AF81" s="316"/>
    </row>
    <row r="82" spans="19:32">
      <c r="S82" s="316"/>
      <c r="T82" s="361"/>
      <c r="U82" s="361"/>
      <c r="V82" s="361"/>
      <c r="W82" s="361"/>
      <c r="X82" s="361"/>
      <c r="Y82" s="361"/>
      <c r="Z82" s="361"/>
      <c r="AA82" s="361"/>
      <c r="AB82" s="361"/>
      <c r="AC82" s="361"/>
      <c r="AD82" s="361"/>
      <c r="AE82" s="361"/>
      <c r="AF82" s="316"/>
    </row>
    <row r="83" spans="19:32">
      <c r="S83" s="316"/>
      <c r="T83" s="361"/>
      <c r="U83" s="361"/>
      <c r="V83" s="361"/>
      <c r="W83" s="361"/>
      <c r="X83" s="361"/>
      <c r="Y83" s="361"/>
      <c r="Z83" s="361"/>
      <c r="AA83" s="361"/>
      <c r="AB83" s="361"/>
      <c r="AC83" s="361"/>
      <c r="AD83" s="361"/>
      <c r="AE83" s="361"/>
      <c r="AF83" s="316"/>
    </row>
    <row r="84" spans="19:32">
      <c r="S84" s="316"/>
      <c r="T84" s="1818"/>
      <c r="U84" s="1818"/>
      <c r="V84" s="1818"/>
      <c r="W84" s="1818"/>
      <c r="X84" s="1818"/>
      <c r="Y84" s="1818"/>
      <c r="Z84" s="1818"/>
      <c r="AA84" s="1818"/>
      <c r="AB84" s="1818"/>
      <c r="AC84" s="1818"/>
      <c r="AD84" s="1818"/>
      <c r="AE84" s="1818"/>
      <c r="AF84" s="316"/>
    </row>
    <row r="85" spans="19:32">
      <c r="S85" s="316"/>
      <c r="T85" s="361"/>
      <c r="U85" s="361"/>
      <c r="V85" s="361"/>
      <c r="W85" s="361"/>
      <c r="X85" s="361"/>
      <c r="Y85" s="361"/>
      <c r="Z85" s="361"/>
      <c r="AA85" s="361"/>
      <c r="AB85" s="361"/>
      <c r="AC85" s="361"/>
      <c r="AD85" s="361"/>
      <c r="AE85" s="361"/>
      <c r="AF85" s="316"/>
    </row>
    <row r="86" spans="19:32">
      <c r="S86" s="316"/>
      <c r="T86" s="361"/>
      <c r="U86" s="361"/>
      <c r="V86" s="361"/>
      <c r="W86" s="361"/>
      <c r="X86" s="361"/>
      <c r="Y86" s="361"/>
      <c r="Z86" s="361"/>
      <c r="AA86" s="361"/>
      <c r="AB86" s="361"/>
      <c r="AC86" s="361"/>
      <c r="AD86" s="361"/>
      <c r="AE86" s="361"/>
      <c r="AF86" s="316"/>
    </row>
    <row r="87" spans="19:32">
      <c r="S87" s="316"/>
      <c r="T87" s="361"/>
      <c r="U87" s="361"/>
      <c r="V87" s="361"/>
      <c r="W87" s="361"/>
      <c r="X87" s="361"/>
      <c r="Y87" s="361"/>
      <c r="Z87" s="361"/>
      <c r="AA87" s="361"/>
      <c r="AB87" s="361"/>
      <c r="AC87" s="361"/>
      <c r="AD87" s="361"/>
      <c r="AE87" s="361"/>
      <c r="AF87" s="316"/>
    </row>
    <row r="88" spans="19:32">
      <c r="S88" s="316"/>
      <c r="T88" s="361"/>
      <c r="U88" s="361"/>
      <c r="V88" s="361"/>
      <c r="W88" s="361"/>
      <c r="X88" s="361"/>
      <c r="Y88" s="361"/>
      <c r="Z88" s="361"/>
      <c r="AA88" s="361"/>
      <c r="AB88" s="361"/>
      <c r="AC88" s="361"/>
      <c r="AD88" s="361"/>
      <c r="AE88" s="361"/>
      <c r="AF88" s="316"/>
    </row>
    <row r="89" spans="19:32">
      <c r="S89" s="316"/>
      <c r="T89" s="361"/>
      <c r="U89" s="361"/>
      <c r="V89" s="361"/>
      <c r="W89" s="361"/>
      <c r="X89" s="361"/>
      <c r="Y89" s="361"/>
      <c r="Z89" s="361"/>
      <c r="AA89" s="361"/>
      <c r="AB89" s="361"/>
      <c r="AC89" s="361"/>
      <c r="AD89" s="361"/>
      <c r="AE89" s="361"/>
      <c r="AF89" s="316"/>
    </row>
    <row r="90" spans="19:32">
      <c r="S90" s="316"/>
      <c r="T90" s="361"/>
      <c r="U90" s="361"/>
      <c r="V90" s="361"/>
      <c r="W90" s="361"/>
      <c r="X90" s="361"/>
      <c r="Y90" s="361"/>
      <c r="Z90" s="361"/>
      <c r="AA90" s="361"/>
      <c r="AB90" s="361"/>
      <c r="AC90" s="361"/>
      <c r="AD90" s="361"/>
      <c r="AE90" s="361"/>
      <c r="AF90" s="316"/>
    </row>
    <row r="91" spans="19:32">
      <c r="S91" s="316"/>
      <c r="T91" s="361"/>
      <c r="U91" s="361"/>
      <c r="V91" s="361"/>
      <c r="W91" s="361"/>
      <c r="X91" s="361"/>
      <c r="Y91" s="361"/>
      <c r="Z91" s="361"/>
      <c r="AA91" s="361"/>
      <c r="AB91" s="361"/>
      <c r="AC91" s="361"/>
      <c r="AD91" s="361"/>
      <c r="AE91" s="361"/>
      <c r="AF91" s="316"/>
    </row>
    <row r="92" spans="19:32">
      <c r="S92" s="316"/>
      <c r="T92" s="361"/>
      <c r="U92" s="361"/>
      <c r="V92" s="361"/>
      <c r="W92" s="361"/>
      <c r="X92" s="361"/>
      <c r="Y92" s="361"/>
      <c r="Z92" s="361"/>
      <c r="AA92" s="361"/>
      <c r="AB92" s="361"/>
      <c r="AC92" s="361"/>
      <c r="AD92" s="361"/>
      <c r="AE92" s="361"/>
      <c r="AF92" s="316"/>
    </row>
    <row r="93" spans="19:32">
      <c r="S93" s="316"/>
      <c r="T93" s="361"/>
      <c r="U93" s="361"/>
      <c r="V93" s="361"/>
      <c r="W93" s="361"/>
      <c r="X93" s="361"/>
      <c r="Y93" s="361"/>
      <c r="Z93" s="361"/>
      <c r="AA93" s="361"/>
      <c r="AB93" s="361"/>
      <c r="AC93" s="361"/>
      <c r="AD93" s="361"/>
      <c r="AE93" s="361"/>
      <c r="AF93" s="316"/>
    </row>
    <row r="94" spans="19:32">
      <c r="S94" s="316"/>
      <c r="T94" s="1818"/>
      <c r="U94" s="1818"/>
      <c r="V94" s="1818"/>
      <c r="W94" s="1818"/>
      <c r="X94" s="1818"/>
      <c r="Y94" s="1818"/>
      <c r="Z94" s="1818"/>
      <c r="AA94" s="1818"/>
      <c r="AB94" s="1818"/>
      <c r="AC94" s="1818"/>
      <c r="AD94" s="1818"/>
      <c r="AE94" s="1818"/>
      <c r="AF94" s="316"/>
    </row>
    <row r="95" spans="19:32">
      <c r="S95" s="316"/>
      <c r="T95" s="1818"/>
      <c r="U95" s="1818"/>
      <c r="V95" s="1818"/>
      <c r="W95" s="1818"/>
      <c r="X95" s="1818"/>
      <c r="Y95" s="1818"/>
      <c r="Z95" s="1818"/>
      <c r="AA95" s="1818"/>
      <c r="AB95" s="1818"/>
      <c r="AC95" s="1818"/>
      <c r="AD95" s="1818"/>
      <c r="AE95" s="1818"/>
      <c r="AF95" s="316"/>
    </row>
  </sheetData>
  <mergeCells count="21">
    <mergeCell ref="A4:A5"/>
    <mergeCell ref="AN4:AQ4"/>
    <mergeCell ref="B4:E4"/>
    <mergeCell ref="F4:I4"/>
    <mergeCell ref="J4:M4"/>
    <mergeCell ref="N4:Q4"/>
    <mergeCell ref="S56:AR56"/>
    <mergeCell ref="X4:AA4"/>
    <mergeCell ref="R4:R5"/>
    <mergeCell ref="S4:S5"/>
    <mergeCell ref="T4:W4"/>
    <mergeCell ref="AR4:AR5"/>
    <mergeCell ref="AB4:AE4"/>
    <mergeCell ref="AF4:AI4"/>
    <mergeCell ref="AJ4:AM4"/>
    <mergeCell ref="K3:R3"/>
    <mergeCell ref="A1:R1"/>
    <mergeCell ref="Y3:AR3"/>
    <mergeCell ref="A2:R2"/>
    <mergeCell ref="S1:AR1"/>
    <mergeCell ref="S2:AR2"/>
  </mergeCells>
  <conditionalFormatting sqref="S6:AR53">
    <cfRule type="expression" dxfId="39" priority="3">
      <formula>MOD(ROW(),3)=1</formula>
    </cfRule>
  </conditionalFormatting>
  <conditionalFormatting sqref="S7:AR53">
    <cfRule type="expression" dxfId="38" priority="1">
      <formula>MOD(ROW(),3)=1</formula>
    </cfRule>
    <cfRule type="expression" dxfId="37" priority="2">
      <formula>MOD(ROW(),3)=1</formula>
    </cfRule>
  </conditionalFormatting>
  <pageMargins left="0.6692913385826772" right="0.15748031496062992" top="0.55118110236220474" bottom="0.74803149606299213" header="0.31496062992125984" footer="0.31496062992125984"/>
  <pageSetup paperSize="9" scale="79" fitToWidth="0" fitToHeight="0" orientation="landscape" r:id="rId1"/>
  <rowBreaks count="1" manualBreakCount="1">
    <brk id="35" min="18" max="43" man="1"/>
  </rowBreaks>
  <colBreaks count="1" manualBreakCount="1">
    <brk id="18" max="45" man="1"/>
  </colBreaks>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5A7528-8F9E-4394-A36D-836F0733E709}">
  <dimension ref="A1:AB54"/>
  <sheetViews>
    <sheetView view="pageBreakPreview" zoomScale="80" zoomScaleSheetLayoutView="80" workbookViewId="0">
      <selection activeCell="S17" sqref="S17"/>
    </sheetView>
  </sheetViews>
  <sheetFormatPr defaultRowHeight="15.75"/>
  <cols>
    <col min="1" max="1" width="9.28515625" style="962" customWidth="1"/>
    <col min="2" max="2" width="27.42578125" style="959" customWidth="1"/>
    <col min="3" max="3" width="15.28515625" style="960" hidden="1" customWidth="1"/>
    <col min="4" max="4" width="15.28515625" style="961" hidden="1" customWidth="1"/>
    <col min="5" max="5" width="14.140625" style="959" customWidth="1"/>
    <col min="6" max="6" width="14" style="959" customWidth="1"/>
    <col min="7" max="7" width="13.85546875" style="959" customWidth="1"/>
    <col min="8" max="8" width="13.28515625" style="960" customWidth="1"/>
    <col min="9" max="9" width="13.85546875" style="960" customWidth="1"/>
    <col min="10" max="10" width="12.7109375" style="960" customWidth="1"/>
    <col min="11" max="11" width="22.140625" style="959" customWidth="1"/>
    <col min="12" max="12" width="13.85546875" style="959" customWidth="1"/>
    <col min="13" max="13" width="17.7109375" style="959" customWidth="1"/>
    <col min="14" max="252" width="9.140625" style="959"/>
    <col min="253" max="253" width="9.28515625" style="959" customWidth="1"/>
    <col min="254" max="254" width="26.28515625" style="959" customWidth="1"/>
    <col min="255" max="259" width="14.42578125" style="959" customWidth="1"/>
    <col min="260" max="508" width="9.140625" style="959"/>
    <col min="509" max="509" width="9.28515625" style="959" customWidth="1"/>
    <col min="510" max="510" width="26.28515625" style="959" customWidth="1"/>
    <col min="511" max="515" width="14.42578125" style="959" customWidth="1"/>
    <col min="516" max="764" width="9.140625" style="959"/>
    <col min="765" max="765" width="9.28515625" style="959" customWidth="1"/>
    <col min="766" max="766" width="26.28515625" style="959" customWidth="1"/>
    <col min="767" max="771" width="14.42578125" style="959" customWidth="1"/>
    <col min="772" max="1020" width="9.140625" style="959"/>
    <col min="1021" max="1021" width="9.28515625" style="959" customWidth="1"/>
    <col min="1022" max="1022" width="26.28515625" style="959" customWidth="1"/>
    <col min="1023" max="1027" width="14.42578125" style="959" customWidth="1"/>
    <col min="1028" max="1276" width="9.140625" style="959"/>
    <col min="1277" max="1277" width="9.28515625" style="959" customWidth="1"/>
    <col min="1278" max="1278" width="26.28515625" style="959" customWidth="1"/>
    <col min="1279" max="1283" width="14.42578125" style="959" customWidth="1"/>
    <col min="1284" max="1532" width="9.140625" style="959"/>
    <col min="1533" max="1533" width="9.28515625" style="959" customWidth="1"/>
    <col min="1534" max="1534" width="26.28515625" style="959" customWidth="1"/>
    <col min="1535" max="1539" width="14.42578125" style="959" customWidth="1"/>
    <col min="1540" max="1788" width="9.140625" style="959"/>
    <col min="1789" max="1789" width="9.28515625" style="959" customWidth="1"/>
    <col min="1790" max="1790" width="26.28515625" style="959" customWidth="1"/>
    <col min="1791" max="1795" width="14.42578125" style="959" customWidth="1"/>
    <col min="1796" max="2044" width="9.140625" style="959"/>
    <col min="2045" max="2045" width="9.28515625" style="959" customWidth="1"/>
    <col min="2046" max="2046" width="26.28515625" style="959" customWidth="1"/>
    <col min="2047" max="2051" width="14.42578125" style="959" customWidth="1"/>
    <col min="2052" max="2300" width="9.140625" style="959"/>
    <col min="2301" max="2301" width="9.28515625" style="959" customWidth="1"/>
    <col min="2302" max="2302" width="26.28515625" style="959" customWidth="1"/>
    <col min="2303" max="2307" width="14.42578125" style="959" customWidth="1"/>
    <col min="2308" max="2556" width="9.140625" style="959"/>
    <col min="2557" max="2557" width="9.28515625" style="959" customWidth="1"/>
    <col min="2558" max="2558" width="26.28515625" style="959" customWidth="1"/>
    <col min="2559" max="2563" width="14.42578125" style="959" customWidth="1"/>
    <col min="2564" max="2812" width="9.140625" style="959"/>
    <col min="2813" max="2813" width="9.28515625" style="959" customWidth="1"/>
    <col min="2814" max="2814" width="26.28515625" style="959" customWidth="1"/>
    <col min="2815" max="2819" width="14.42578125" style="959" customWidth="1"/>
    <col min="2820" max="3068" width="9.140625" style="959"/>
    <col min="3069" max="3069" width="9.28515625" style="959" customWidth="1"/>
    <col min="3070" max="3070" width="26.28515625" style="959" customWidth="1"/>
    <col min="3071" max="3075" width="14.42578125" style="959" customWidth="1"/>
    <col min="3076" max="3324" width="9.140625" style="959"/>
    <col min="3325" max="3325" width="9.28515625" style="959" customWidth="1"/>
    <col min="3326" max="3326" width="26.28515625" style="959" customWidth="1"/>
    <col min="3327" max="3331" width="14.42578125" style="959" customWidth="1"/>
    <col min="3332" max="3580" width="9.140625" style="959"/>
    <col min="3581" max="3581" width="9.28515625" style="959" customWidth="1"/>
    <col min="3582" max="3582" width="26.28515625" style="959" customWidth="1"/>
    <col min="3583" max="3587" width="14.42578125" style="959" customWidth="1"/>
    <col min="3588" max="3836" width="9.140625" style="959"/>
    <col min="3837" max="3837" width="9.28515625" style="959" customWidth="1"/>
    <col min="3838" max="3838" width="26.28515625" style="959" customWidth="1"/>
    <col min="3839" max="3843" width="14.42578125" style="959" customWidth="1"/>
    <col min="3844" max="4092" width="9.140625" style="959"/>
    <col min="4093" max="4093" width="9.28515625" style="959" customWidth="1"/>
    <col min="4094" max="4094" width="26.28515625" style="959" customWidth="1"/>
    <col min="4095" max="4099" width="14.42578125" style="959" customWidth="1"/>
    <col min="4100" max="4348" width="9.140625" style="959"/>
    <col min="4349" max="4349" width="9.28515625" style="959" customWidth="1"/>
    <col min="4350" max="4350" width="26.28515625" style="959" customWidth="1"/>
    <col min="4351" max="4355" width="14.42578125" style="959" customWidth="1"/>
    <col min="4356" max="4604" width="9.140625" style="959"/>
    <col min="4605" max="4605" width="9.28515625" style="959" customWidth="1"/>
    <col min="4606" max="4606" width="26.28515625" style="959" customWidth="1"/>
    <col min="4607" max="4611" width="14.42578125" style="959" customWidth="1"/>
    <col min="4612" max="4860" width="9.140625" style="959"/>
    <col min="4861" max="4861" width="9.28515625" style="959" customWidth="1"/>
    <col min="4862" max="4862" width="26.28515625" style="959" customWidth="1"/>
    <col min="4863" max="4867" width="14.42578125" style="959" customWidth="1"/>
    <col min="4868" max="5116" width="9.140625" style="959"/>
    <col min="5117" max="5117" width="9.28515625" style="959" customWidth="1"/>
    <col min="5118" max="5118" width="26.28515625" style="959" customWidth="1"/>
    <col min="5119" max="5123" width="14.42578125" style="959" customWidth="1"/>
    <col min="5124" max="5372" width="9.140625" style="959"/>
    <col min="5373" max="5373" width="9.28515625" style="959" customWidth="1"/>
    <col min="5374" max="5374" width="26.28515625" style="959" customWidth="1"/>
    <col min="5375" max="5379" width="14.42578125" style="959" customWidth="1"/>
    <col min="5380" max="5628" width="9.140625" style="959"/>
    <col min="5629" max="5629" width="9.28515625" style="959" customWidth="1"/>
    <col min="5630" max="5630" width="26.28515625" style="959" customWidth="1"/>
    <col min="5631" max="5635" width="14.42578125" style="959" customWidth="1"/>
    <col min="5636" max="5884" width="9.140625" style="959"/>
    <col min="5885" max="5885" width="9.28515625" style="959" customWidth="1"/>
    <col min="5886" max="5886" width="26.28515625" style="959" customWidth="1"/>
    <col min="5887" max="5891" width="14.42578125" style="959" customWidth="1"/>
    <col min="5892" max="6140" width="9.140625" style="959"/>
    <col min="6141" max="6141" width="9.28515625" style="959" customWidth="1"/>
    <col min="6142" max="6142" width="26.28515625" style="959" customWidth="1"/>
    <col min="6143" max="6147" width="14.42578125" style="959" customWidth="1"/>
    <col min="6148" max="6396" width="9.140625" style="959"/>
    <col min="6397" max="6397" width="9.28515625" style="959" customWidth="1"/>
    <col min="6398" max="6398" width="26.28515625" style="959" customWidth="1"/>
    <col min="6399" max="6403" width="14.42578125" style="959" customWidth="1"/>
    <col min="6404" max="6652" width="9.140625" style="959"/>
    <col min="6653" max="6653" width="9.28515625" style="959" customWidth="1"/>
    <col min="6654" max="6654" width="26.28515625" style="959" customWidth="1"/>
    <col min="6655" max="6659" width="14.42578125" style="959" customWidth="1"/>
    <col min="6660" max="6908" width="9.140625" style="959"/>
    <col min="6909" max="6909" width="9.28515625" style="959" customWidth="1"/>
    <col min="6910" max="6910" width="26.28515625" style="959" customWidth="1"/>
    <col min="6911" max="6915" width="14.42578125" style="959" customWidth="1"/>
    <col min="6916" max="7164" width="9.140625" style="959"/>
    <col min="7165" max="7165" width="9.28515625" style="959" customWidth="1"/>
    <col min="7166" max="7166" width="26.28515625" style="959" customWidth="1"/>
    <col min="7167" max="7171" width="14.42578125" style="959" customWidth="1"/>
    <col min="7172" max="7420" width="9.140625" style="959"/>
    <col min="7421" max="7421" width="9.28515625" style="959" customWidth="1"/>
    <col min="7422" max="7422" width="26.28515625" style="959" customWidth="1"/>
    <col min="7423" max="7427" width="14.42578125" style="959" customWidth="1"/>
    <col min="7428" max="7676" width="9.140625" style="959"/>
    <col min="7677" max="7677" width="9.28515625" style="959" customWidth="1"/>
    <col min="7678" max="7678" width="26.28515625" style="959" customWidth="1"/>
    <col min="7679" max="7683" width="14.42578125" style="959" customWidth="1"/>
    <col min="7684" max="7932" width="9.140625" style="959"/>
    <col min="7933" max="7933" width="9.28515625" style="959" customWidth="1"/>
    <col min="7934" max="7934" width="26.28515625" style="959" customWidth="1"/>
    <col min="7935" max="7939" width="14.42578125" style="959" customWidth="1"/>
    <col min="7940" max="8188" width="9.140625" style="959"/>
    <col min="8189" max="8189" width="9.28515625" style="959" customWidth="1"/>
    <col min="8190" max="8190" width="26.28515625" style="959" customWidth="1"/>
    <col min="8191" max="8195" width="14.42578125" style="959" customWidth="1"/>
    <col min="8196" max="8444" width="9.140625" style="959"/>
    <col min="8445" max="8445" width="9.28515625" style="959" customWidth="1"/>
    <col min="8446" max="8446" width="26.28515625" style="959" customWidth="1"/>
    <col min="8447" max="8451" width="14.42578125" style="959" customWidth="1"/>
    <col min="8452" max="8700" width="9.140625" style="959"/>
    <col min="8701" max="8701" width="9.28515625" style="959" customWidth="1"/>
    <col min="8702" max="8702" width="26.28515625" style="959" customWidth="1"/>
    <col min="8703" max="8707" width="14.42578125" style="959" customWidth="1"/>
    <col min="8708" max="8956" width="9.140625" style="959"/>
    <col min="8957" max="8957" width="9.28515625" style="959" customWidth="1"/>
    <col min="8958" max="8958" width="26.28515625" style="959" customWidth="1"/>
    <col min="8959" max="8963" width="14.42578125" style="959" customWidth="1"/>
    <col min="8964" max="9212" width="9.140625" style="959"/>
    <col min="9213" max="9213" width="9.28515625" style="959" customWidth="1"/>
    <col min="9214" max="9214" width="26.28515625" style="959" customWidth="1"/>
    <col min="9215" max="9219" width="14.42578125" style="959" customWidth="1"/>
    <col min="9220" max="9468" width="9.140625" style="959"/>
    <col min="9469" max="9469" width="9.28515625" style="959" customWidth="1"/>
    <col min="9470" max="9470" width="26.28515625" style="959" customWidth="1"/>
    <col min="9471" max="9475" width="14.42578125" style="959" customWidth="1"/>
    <col min="9476" max="9724" width="9.140625" style="959"/>
    <col min="9725" max="9725" width="9.28515625" style="959" customWidth="1"/>
    <col min="9726" max="9726" width="26.28515625" style="959" customWidth="1"/>
    <col min="9727" max="9731" width="14.42578125" style="959" customWidth="1"/>
    <col min="9732" max="9980" width="9.140625" style="959"/>
    <col min="9981" max="9981" width="9.28515625" style="959" customWidth="1"/>
    <col min="9982" max="9982" width="26.28515625" style="959" customWidth="1"/>
    <col min="9983" max="9987" width="14.42578125" style="959" customWidth="1"/>
    <col min="9988" max="10236" width="9.140625" style="959"/>
    <col min="10237" max="10237" width="9.28515625" style="959" customWidth="1"/>
    <col min="10238" max="10238" width="26.28515625" style="959" customWidth="1"/>
    <col min="10239" max="10243" width="14.42578125" style="959" customWidth="1"/>
    <col min="10244" max="10492" width="9.140625" style="959"/>
    <col min="10493" max="10493" width="9.28515625" style="959" customWidth="1"/>
    <col min="10494" max="10494" width="26.28515625" style="959" customWidth="1"/>
    <col min="10495" max="10499" width="14.42578125" style="959" customWidth="1"/>
    <col min="10500" max="10748" width="9.140625" style="959"/>
    <col min="10749" max="10749" width="9.28515625" style="959" customWidth="1"/>
    <col min="10750" max="10750" width="26.28515625" style="959" customWidth="1"/>
    <col min="10751" max="10755" width="14.42578125" style="959" customWidth="1"/>
    <col min="10756" max="11004" width="9.140625" style="959"/>
    <col min="11005" max="11005" width="9.28515625" style="959" customWidth="1"/>
    <col min="11006" max="11006" width="26.28515625" style="959" customWidth="1"/>
    <col min="11007" max="11011" width="14.42578125" style="959" customWidth="1"/>
    <col min="11012" max="11260" width="9.140625" style="959"/>
    <col min="11261" max="11261" width="9.28515625" style="959" customWidth="1"/>
    <col min="11262" max="11262" width="26.28515625" style="959" customWidth="1"/>
    <col min="11263" max="11267" width="14.42578125" style="959" customWidth="1"/>
    <col min="11268" max="11516" width="9.140625" style="959"/>
    <col min="11517" max="11517" width="9.28515625" style="959" customWidth="1"/>
    <col min="11518" max="11518" width="26.28515625" style="959" customWidth="1"/>
    <col min="11519" max="11523" width="14.42578125" style="959" customWidth="1"/>
    <col min="11524" max="11772" width="9.140625" style="959"/>
    <col min="11773" max="11773" width="9.28515625" style="959" customWidth="1"/>
    <col min="11774" max="11774" width="26.28515625" style="959" customWidth="1"/>
    <col min="11775" max="11779" width="14.42578125" style="959" customWidth="1"/>
    <col min="11780" max="12028" width="9.140625" style="959"/>
    <col min="12029" max="12029" width="9.28515625" style="959" customWidth="1"/>
    <col min="12030" max="12030" width="26.28515625" style="959" customWidth="1"/>
    <col min="12031" max="12035" width="14.42578125" style="959" customWidth="1"/>
    <col min="12036" max="12284" width="9.140625" style="959"/>
    <col min="12285" max="12285" width="9.28515625" style="959" customWidth="1"/>
    <col min="12286" max="12286" width="26.28515625" style="959" customWidth="1"/>
    <col min="12287" max="12291" width="14.42578125" style="959" customWidth="1"/>
    <col min="12292" max="12540" width="9.140625" style="959"/>
    <col min="12541" max="12541" width="9.28515625" style="959" customWidth="1"/>
    <col min="12542" max="12542" width="26.28515625" style="959" customWidth="1"/>
    <col min="12543" max="12547" width="14.42578125" style="959" customWidth="1"/>
    <col min="12548" max="12796" width="9.140625" style="959"/>
    <col min="12797" max="12797" width="9.28515625" style="959" customWidth="1"/>
    <col min="12798" max="12798" width="26.28515625" style="959" customWidth="1"/>
    <col min="12799" max="12803" width="14.42578125" style="959" customWidth="1"/>
    <col min="12804" max="13052" width="9.140625" style="959"/>
    <col min="13053" max="13053" width="9.28515625" style="959" customWidth="1"/>
    <col min="13054" max="13054" width="26.28515625" style="959" customWidth="1"/>
    <col min="13055" max="13059" width="14.42578125" style="959" customWidth="1"/>
    <col min="13060" max="13308" width="9.140625" style="959"/>
    <col min="13309" max="13309" width="9.28515625" style="959" customWidth="1"/>
    <col min="13310" max="13310" width="26.28515625" style="959" customWidth="1"/>
    <col min="13311" max="13315" width="14.42578125" style="959" customWidth="1"/>
    <col min="13316" max="13564" width="9.140625" style="959"/>
    <col min="13565" max="13565" width="9.28515625" style="959" customWidth="1"/>
    <col min="13566" max="13566" width="26.28515625" style="959" customWidth="1"/>
    <col min="13567" max="13571" width="14.42578125" style="959" customWidth="1"/>
    <col min="13572" max="13820" width="9.140625" style="959"/>
    <col min="13821" max="13821" width="9.28515625" style="959" customWidth="1"/>
    <col min="13822" max="13822" width="26.28515625" style="959" customWidth="1"/>
    <col min="13823" max="13827" width="14.42578125" style="959" customWidth="1"/>
    <col min="13828" max="14076" width="9.140625" style="959"/>
    <col min="14077" max="14077" width="9.28515625" style="959" customWidth="1"/>
    <col min="14078" max="14078" width="26.28515625" style="959" customWidth="1"/>
    <col min="14079" max="14083" width="14.42578125" style="959" customWidth="1"/>
    <col min="14084" max="14332" width="9.140625" style="959"/>
    <col min="14333" max="14333" width="9.28515625" style="959" customWidth="1"/>
    <col min="14334" max="14334" width="26.28515625" style="959" customWidth="1"/>
    <col min="14335" max="14339" width="14.42578125" style="959" customWidth="1"/>
    <col min="14340" max="14588" width="9.140625" style="959"/>
    <col min="14589" max="14589" width="9.28515625" style="959" customWidth="1"/>
    <col min="14590" max="14590" width="26.28515625" style="959" customWidth="1"/>
    <col min="14591" max="14595" width="14.42578125" style="959" customWidth="1"/>
    <col min="14596" max="14844" width="9.140625" style="959"/>
    <col min="14845" max="14845" width="9.28515625" style="959" customWidth="1"/>
    <col min="14846" max="14846" width="26.28515625" style="959" customWidth="1"/>
    <col min="14847" max="14851" width="14.42578125" style="959" customWidth="1"/>
    <col min="14852" max="15100" width="9.140625" style="959"/>
    <col min="15101" max="15101" width="9.28515625" style="959" customWidth="1"/>
    <col min="15102" max="15102" width="26.28515625" style="959" customWidth="1"/>
    <col min="15103" max="15107" width="14.42578125" style="959" customWidth="1"/>
    <col min="15108" max="15356" width="9.140625" style="959"/>
    <col min="15357" max="15357" width="9.28515625" style="959" customWidth="1"/>
    <col min="15358" max="15358" width="26.28515625" style="959" customWidth="1"/>
    <col min="15359" max="15363" width="14.42578125" style="959" customWidth="1"/>
    <col min="15364" max="15612" width="9.140625" style="959"/>
    <col min="15613" max="15613" width="9.28515625" style="959" customWidth="1"/>
    <col min="15614" max="15614" width="26.28515625" style="959" customWidth="1"/>
    <col min="15615" max="15619" width="14.42578125" style="959" customWidth="1"/>
    <col min="15620" max="15868" width="9.140625" style="959"/>
    <col min="15869" max="15869" width="9.28515625" style="959" customWidth="1"/>
    <col min="15870" max="15870" width="26.28515625" style="959" customWidth="1"/>
    <col min="15871" max="15875" width="14.42578125" style="959" customWidth="1"/>
    <col min="15876" max="16124" width="9.140625" style="959"/>
    <col min="16125" max="16125" width="9.28515625" style="959" customWidth="1"/>
    <col min="16126" max="16126" width="26.28515625" style="959" customWidth="1"/>
    <col min="16127" max="16131" width="14.42578125" style="959" customWidth="1"/>
    <col min="16132" max="16382" width="9.140625" style="959"/>
    <col min="16383" max="16383" width="9.140625" style="959" customWidth="1"/>
    <col min="16384" max="16384" width="9.140625" style="959"/>
  </cols>
  <sheetData>
    <row r="1" spans="1:28" s="1007" customFormat="1" ht="42" customHeight="1" thickTop="1">
      <c r="A1" s="2365" t="s">
        <v>2796</v>
      </c>
      <c r="B1" s="2366"/>
      <c r="C1" s="2366"/>
      <c r="D1" s="2366"/>
      <c r="E1" s="2366"/>
      <c r="F1" s="2366"/>
      <c r="G1" s="2366"/>
      <c r="H1" s="2366"/>
      <c r="I1" s="2366"/>
      <c r="J1" s="2366"/>
      <c r="K1" s="2367"/>
    </row>
    <row r="2" spans="1:28" s="1007" customFormat="1" ht="20.25" customHeight="1">
      <c r="A2" s="2368"/>
      <c r="B2" s="2369"/>
      <c r="C2" s="2369"/>
      <c r="D2" s="2369"/>
      <c r="E2" s="2369"/>
      <c r="F2" s="2369"/>
      <c r="G2" s="2369"/>
      <c r="H2" s="2369"/>
      <c r="I2" s="2369"/>
      <c r="J2" s="2369"/>
      <c r="K2" s="2370"/>
    </row>
    <row r="3" spans="1:28" ht="28.5" customHeight="1">
      <c r="A3" s="2373" t="s">
        <v>2053</v>
      </c>
      <c r="B3" s="2374"/>
      <c r="C3" s="2374"/>
      <c r="D3" s="2374"/>
      <c r="E3" s="2374"/>
      <c r="F3" s="2374"/>
      <c r="G3" s="2374"/>
      <c r="H3" s="2374"/>
      <c r="I3" s="2374"/>
      <c r="J3" s="2374"/>
      <c r="K3" s="2375"/>
    </row>
    <row r="4" spans="1:28" s="1002" customFormat="1" ht="43.5" customHeight="1">
      <c r="A4" s="1397" t="s">
        <v>688</v>
      </c>
      <c r="B4" s="1006" t="s">
        <v>141</v>
      </c>
      <c r="C4" s="1005" t="s">
        <v>2052</v>
      </c>
      <c r="D4" s="1004" t="s">
        <v>2051</v>
      </c>
      <c r="E4" s="1004" t="s">
        <v>129</v>
      </c>
      <c r="F4" s="1004" t="s">
        <v>142</v>
      </c>
      <c r="G4" s="1004" t="s">
        <v>2050</v>
      </c>
      <c r="H4" s="1004" t="s">
        <v>522</v>
      </c>
      <c r="I4" s="1004" t="s">
        <v>652</v>
      </c>
      <c r="J4" s="1004" t="s">
        <v>803</v>
      </c>
      <c r="K4" s="1398" t="s">
        <v>2049</v>
      </c>
      <c r="AB4" s="1003"/>
    </row>
    <row r="5" spans="1:28" s="1000" customFormat="1" ht="21.75" customHeight="1">
      <c r="A5" s="1399">
        <v>1</v>
      </c>
      <c r="B5" s="1001" t="s">
        <v>144</v>
      </c>
      <c r="C5" s="974">
        <v>4050</v>
      </c>
      <c r="D5" s="973">
        <v>2712.79</v>
      </c>
      <c r="E5" s="973">
        <v>2015</v>
      </c>
      <c r="F5" s="973">
        <v>1738</v>
      </c>
      <c r="G5" s="973">
        <v>1689</v>
      </c>
      <c r="H5" s="973">
        <v>1558.63</v>
      </c>
      <c r="I5" s="973">
        <v>1558.63</v>
      </c>
      <c r="J5" s="998">
        <v>1759.26</v>
      </c>
      <c r="K5" s="1400" t="s">
        <v>14</v>
      </c>
      <c r="L5" s="972"/>
      <c r="M5" s="971"/>
      <c r="N5" s="971"/>
      <c r="O5" s="971"/>
      <c r="P5" s="970"/>
    </row>
    <row r="6" spans="1:28" ht="21.75" customHeight="1">
      <c r="A6" s="1399">
        <v>2</v>
      </c>
      <c r="B6" s="999" t="s">
        <v>809</v>
      </c>
      <c r="C6" s="974">
        <v>787</v>
      </c>
      <c r="D6" s="973">
        <v>831</v>
      </c>
      <c r="E6" s="973">
        <v>790</v>
      </c>
      <c r="F6" s="973">
        <v>840</v>
      </c>
      <c r="G6" s="973">
        <v>850</v>
      </c>
      <c r="H6" s="973">
        <v>850</v>
      </c>
      <c r="I6" s="973">
        <v>995</v>
      </c>
      <c r="J6" s="998">
        <v>995</v>
      </c>
      <c r="K6" s="1400" t="s">
        <v>22</v>
      </c>
      <c r="L6" s="972"/>
      <c r="M6" s="971"/>
      <c r="N6" s="971"/>
      <c r="O6" s="971"/>
      <c r="P6" s="970"/>
    </row>
    <row r="7" spans="1:28" ht="21.75" customHeight="1">
      <c r="A7" s="1399">
        <v>3</v>
      </c>
      <c r="B7" s="975" t="s">
        <v>911</v>
      </c>
      <c r="C7" s="974">
        <v>1589</v>
      </c>
      <c r="D7" s="973">
        <v>1625</v>
      </c>
      <c r="E7" s="973">
        <v>1660</v>
      </c>
      <c r="F7" s="973">
        <v>1685</v>
      </c>
      <c r="G7" s="973">
        <v>1770</v>
      </c>
      <c r="H7" s="973">
        <v>1672</v>
      </c>
      <c r="I7" s="973">
        <v>1639</v>
      </c>
      <c r="J7" s="998">
        <v>1740</v>
      </c>
      <c r="K7" s="1400" t="s">
        <v>23</v>
      </c>
      <c r="L7" s="972"/>
      <c r="M7" s="971"/>
      <c r="N7" s="971"/>
      <c r="O7" s="971"/>
      <c r="P7" s="970"/>
    </row>
    <row r="8" spans="1:28" ht="21.75" customHeight="1">
      <c r="A8" s="1399">
        <v>4</v>
      </c>
      <c r="B8" s="975" t="s">
        <v>216</v>
      </c>
      <c r="C8" s="974">
        <v>11.5</v>
      </c>
      <c r="D8" s="973">
        <v>48.260000000000005</v>
      </c>
      <c r="E8" s="973">
        <v>22.43</v>
      </c>
      <c r="F8" s="973">
        <v>24.060000000000002</v>
      </c>
      <c r="G8" s="973">
        <v>25.328000000000003</v>
      </c>
      <c r="H8" s="973">
        <v>30</v>
      </c>
      <c r="I8" s="973">
        <v>30.223999999999997</v>
      </c>
      <c r="J8" s="998">
        <v>31.825000000000003</v>
      </c>
      <c r="K8" s="1400" t="s">
        <v>16</v>
      </c>
      <c r="L8" s="972"/>
      <c r="M8" s="971"/>
      <c r="N8" s="971"/>
      <c r="O8" s="971"/>
      <c r="P8" s="970"/>
    </row>
    <row r="9" spans="1:28" ht="21.75" customHeight="1">
      <c r="A9" s="1399">
        <v>5</v>
      </c>
      <c r="B9" s="975" t="s">
        <v>877</v>
      </c>
      <c r="C9" s="974">
        <v>1730</v>
      </c>
      <c r="D9" s="973">
        <v>1980</v>
      </c>
      <c r="E9" s="973">
        <v>1713</v>
      </c>
      <c r="F9" s="973">
        <v>1692</v>
      </c>
      <c r="G9" s="973">
        <v>1608</v>
      </c>
      <c r="H9" s="973">
        <v>1784</v>
      </c>
      <c r="I9" s="973">
        <v>1573</v>
      </c>
      <c r="J9" s="998">
        <v>1869</v>
      </c>
      <c r="K9" s="1400" t="s">
        <v>17</v>
      </c>
      <c r="L9" s="972"/>
      <c r="M9" s="971"/>
      <c r="N9" s="971"/>
      <c r="O9" s="971"/>
      <c r="P9" s="970"/>
    </row>
    <row r="10" spans="1:28" ht="21.75" customHeight="1">
      <c r="A10" s="1399">
        <v>6</v>
      </c>
      <c r="B10" s="975" t="s">
        <v>1156</v>
      </c>
      <c r="C10" s="974">
        <v>4070</v>
      </c>
      <c r="D10" s="973">
        <v>4100</v>
      </c>
      <c r="E10" s="973">
        <v>4050</v>
      </c>
      <c r="F10" s="973">
        <v>4025</v>
      </c>
      <c r="G10" s="973">
        <v>4015</v>
      </c>
      <c r="H10" s="973">
        <v>4200</v>
      </c>
      <c r="I10" s="973">
        <v>4050</v>
      </c>
      <c r="J10" s="998">
        <v>4066</v>
      </c>
      <c r="K10" s="1400" t="s">
        <v>25</v>
      </c>
      <c r="L10" s="972"/>
      <c r="M10" s="971"/>
      <c r="N10" s="971"/>
      <c r="O10" s="971"/>
      <c r="P10" s="970"/>
    </row>
    <row r="11" spans="1:28" ht="21.75" customHeight="1">
      <c r="A11" s="1399">
        <v>7</v>
      </c>
      <c r="B11" s="975" t="s">
        <v>1155</v>
      </c>
      <c r="C11" s="974">
        <v>379</v>
      </c>
      <c r="D11" s="973">
        <v>450</v>
      </c>
      <c r="E11" s="973">
        <v>340.87</v>
      </c>
      <c r="F11" s="973">
        <v>467</v>
      </c>
      <c r="G11" s="973">
        <v>322.39999999999998</v>
      </c>
      <c r="H11" s="973">
        <v>881.19999999999993</v>
      </c>
      <c r="I11" s="973">
        <v>56.391999999999996</v>
      </c>
      <c r="J11" s="998">
        <v>453.76810999999998</v>
      </c>
      <c r="K11" s="1400" t="s">
        <v>5</v>
      </c>
      <c r="L11" s="972"/>
      <c r="M11" s="971"/>
      <c r="N11" s="971"/>
      <c r="O11" s="971"/>
      <c r="P11" s="970"/>
    </row>
    <row r="12" spans="1:28" ht="21.75" customHeight="1">
      <c r="A12" s="1399" t="s">
        <v>2048</v>
      </c>
      <c r="B12" s="975" t="s">
        <v>1154</v>
      </c>
      <c r="C12" s="974">
        <v>1920.905</v>
      </c>
      <c r="D12" s="973">
        <v>2251.3319999999999</v>
      </c>
      <c r="E12" s="973"/>
      <c r="F12" s="973"/>
      <c r="G12" s="973"/>
      <c r="H12" s="973"/>
      <c r="I12" s="973"/>
      <c r="J12" s="959"/>
      <c r="K12" s="1400" t="s">
        <v>632</v>
      </c>
    </row>
    <row r="13" spans="1:28" ht="21.75" customHeight="1">
      <c r="A13" s="1399">
        <v>9</v>
      </c>
      <c r="B13" s="975" t="s">
        <v>861</v>
      </c>
      <c r="C13" s="974">
        <v>650</v>
      </c>
      <c r="D13" s="973">
        <v>492.78399999999999</v>
      </c>
      <c r="E13" s="973">
        <v>541.45000000000005</v>
      </c>
      <c r="F13" s="973">
        <v>618.76</v>
      </c>
      <c r="G13" s="973">
        <v>646.4</v>
      </c>
      <c r="H13" s="973">
        <v>681</v>
      </c>
      <c r="I13" s="973">
        <v>1161</v>
      </c>
      <c r="J13" s="998">
        <v>1195</v>
      </c>
      <c r="K13" s="1400" t="s">
        <v>27</v>
      </c>
      <c r="L13" s="972"/>
      <c r="M13" s="971"/>
      <c r="N13" s="971"/>
      <c r="O13" s="971"/>
      <c r="P13" s="970"/>
    </row>
    <row r="14" spans="1:28" ht="21.75" customHeight="1">
      <c r="A14" s="1399">
        <v>10</v>
      </c>
      <c r="B14" s="975" t="s">
        <v>140</v>
      </c>
      <c r="C14" s="974">
        <v>1793</v>
      </c>
      <c r="D14" s="973">
        <v>1434</v>
      </c>
      <c r="E14" s="973">
        <v>1288</v>
      </c>
      <c r="F14" s="973">
        <v>1502</v>
      </c>
      <c r="G14" s="973">
        <v>1524</v>
      </c>
      <c r="H14" s="973">
        <v>1568</v>
      </c>
      <c r="I14" s="973">
        <v>1930</v>
      </c>
      <c r="J14" s="998">
        <v>1930</v>
      </c>
      <c r="K14" s="1400" t="s">
        <v>28</v>
      </c>
      <c r="L14" s="972"/>
      <c r="M14" s="971"/>
      <c r="N14" s="971"/>
      <c r="O14" s="971"/>
      <c r="P14" s="970"/>
    </row>
    <row r="15" spans="1:28" ht="21.75" customHeight="1">
      <c r="A15" s="1399">
        <v>11</v>
      </c>
      <c r="B15" s="975" t="s">
        <v>874</v>
      </c>
      <c r="C15" s="974">
        <v>910.27500000000009</v>
      </c>
      <c r="D15" s="973">
        <v>1123.421</v>
      </c>
      <c r="E15" s="973">
        <v>894.95</v>
      </c>
      <c r="F15" s="973">
        <v>1067.499</v>
      </c>
      <c r="G15" s="973">
        <v>994.72199999999998</v>
      </c>
      <c r="H15" s="973">
        <v>656.39499999999998</v>
      </c>
      <c r="I15" s="973">
        <v>585.27300000000002</v>
      </c>
      <c r="J15" s="998">
        <v>554.447</v>
      </c>
      <c r="K15" s="1400" t="s">
        <v>6</v>
      </c>
      <c r="L15" s="972"/>
      <c r="M15" s="971"/>
      <c r="N15" s="971"/>
      <c r="O15" s="971"/>
      <c r="P15" s="970"/>
    </row>
    <row r="16" spans="1:28" ht="21.75" customHeight="1">
      <c r="A16" s="1399">
        <v>12</v>
      </c>
      <c r="B16" s="975" t="s">
        <v>909</v>
      </c>
      <c r="C16" s="974">
        <v>696</v>
      </c>
      <c r="D16" s="973">
        <v>732</v>
      </c>
      <c r="E16" s="973">
        <v>694</v>
      </c>
      <c r="F16" s="973">
        <v>502</v>
      </c>
      <c r="G16" s="973">
        <v>540</v>
      </c>
      <c r="H16" s="973">
        <v>540</v>
      </c>
      <c r="I16" s="973">
        <v>691</v>
      </c>
      <c r="J16" s="998">
        <v>654</v>
      </c>
      <c r="K16" s="1400" t="s">
        <v>18</v>
      </c>
      <c r="L16" s="972"/>
      <c r="M16" s="971"/>
      <c r="N16" s="971"/>
      <c r="O16" s="971"/>
      <c r="P16" s="970"/>
    </row>
    <row r="17" spans="1:16" ht="21.75" customHeight="1">
      <c r="A17" s="1399">
        <v>13</v>
      </c>
      <c r="B17" s="975" t="s">
        <v>138</v>
      </c>
      <c r="C17" s="974">
        <v>8663</v>
      </c>
      <c r="D17" s="973">
        <v>11665</v>
      </c>
      <c r="E17" s="973">
        <v>13496</v>
      </c>
      <c r="F17" s="973">
        <v>15568</v>
      </c>
      <c r="G17" s="973">
        <v>11746</v>
      </c>
      <c r="H17" s="973">
        <v>12783</v>
      </c>
      <c r="I17" s="973">
        <v>13243</v>
      </c>
      <c r="J17" s="998">
        <v>13175</v>
      </c>
      <c r="K17" s="1400" t="s">
        <v>29</v>
      </c>
      <c r="L17" s="972"/>
      <c r="M17" s="971"/>
      <c r="N17" s="971"/>
      <c r="O17" s="971"/>
      <c r="P17" s="970"/>
    </row>
    <row r="18" spans="1:16" ht="21.75" customHeight="1">
      <c r="A18" s="1399">
        <v>14</v>
      </c>
      <c r="B18" s="975" t="s">
        <v>856</v>
      </c>
      <c r="C18" s="974">
        <v>1278</v>
      </c>
      <c r="D18" s="973">
        <v>994</v>
      </c>
      <c r="E18" s="973">
        <v>1050</v>
      </c>
      <c r="F18" s="973">
        <v>1633</v>
      </c>
      <c r="G18" s="973">
        <v>1609</v>
      </c>
      <c r="H18" s="973">
        <v>1115</v>
      </c>
      <c r="I18" s="973">
        <v>1158.4100000000001</v>
      </c>
      <c r="J18" s="998">
        <v>1239.9380000000001</v>
      </c>
      <c r="K18" s="1400" t="s">
        <v>1391</v>
      </c>
      <c r="L18" s="972"/>
      <c r="M18" s="971"/>
      <c r="N18" s="971"/>
      <c r="O18" s="971"/>
      <c r="P18" s="970"/>
    </row>
    <row r="19" spans="1:16" ht="21.75" customHeight="1">
      <c r="A19" s="1399">
        <v>15</v>
      </c>
      <c r="B19" s="975" t="s">
        <v>1152</v>
      </c>
      <c r="C19" s="974">
        <v>5689</v>
      </c>
      <c r="D19" s="973">
        <v>5743</v>
      </c>
      <c r="E19" s="973">
        <v>5843</v>
      </c>
      <c r="F19" s="973">
        <v>5835</v>
      </c>
      <c r="G19" s="973">
        <v>5543</v>
      </c>
      <c r="H19" s="973">
        <v>4995</v>
      </c>
      <c r="I19" s="973">
        <v>5193</v>
      </c>
      <c r="J19" s="1153" t="s">
        <v>2042</v>
      </c>
      <c r="K19" s="1400" t="s">
        <v>32</v>
      </c>
      <c r="L19" s="972"/>
      <c r="M19" s="971"/>
      <c r="N19" s="971"/>
      <c r="O19" s="971"/>
      <c r="P19" s="970"/>
    </row>
    <row r="20" spans="1:16" ht="21.75" customHeight="1">
      <c r="A20" s="1399">
        <v>16</v>
      </c>
      <c r="B20" s="975" t="s">
        <v>872</v>
      </c>
      <c r="C20" s="974">
        <v>2694</v>
      </c>
      <c r="D20" s="973">
        <v>2475</v>
      </c>
      <c r="E20" s="973">
        <v>2269</v>
      </c>
      <c r="F20" s="973">
        <v>2307</v>
      </c>
      <c r="G20" s="973">
        <v>2290</v>
      </c>
      <c r="H20" s="973">
        <v>2088</v>
      </c>
      <c r="I20" s="973">
        <v>2330</v>
      </c>
      <c r="J20" s="998">
        <v>2104</v>
      </c>
      <c r="K20" s="1400" t="s">
        <v>33</v>
      </c>
      <c r="L20" s="972"/>
      <c r="M20" s="971"/>
      <c r="N20" s="971"/>
      <c r="O20" s="971"/>
      <c r="P20" s="970"/>
    </row>
    <row r="21" spans="1:16" ht="21.75" customHeight="1">
      <c r="A21" s="1399">
        <v>17</v>
      </c>
      <c r="B21" s="975" t="s">
        <v>681</v>
      </c>
      <c r="C21" s="974">
        <v>2096</v>
      </c>
      <c r="D21" s="973">
        <v>2096</v>
      </c>
      <c r="E21" s="973">
        <v>2092</v>
      </c>
      <c r="F21" s="973">
        <v>1929</v>
      </c>
      <c r="G21" s="973">
        <v>1901</v>
      </c>
      <c r="H21" s="973">
        <v>2225</v>
      </c>
      <c r="I21" s="973">
        <v>1834</v>
      </c>
      <c r="J21" s="998">
        <v>1851</v>
      </c>
      <c r="K21" s="1400" t="s">
        <v>12</v>
      </c>
      <c r="L21" s="972"/>
      <c r="M21" s="971"/>
      <c r="N21" s="971"/>
      <c r="O21" s="971"/>
      <c r="P21" s="970"/>
    </row>
    <row r="22" spans="1:16" ht="21.75" customHeight="1">
      <c r="A22" s="1399">
        <v>18</v>
      </c>
      <c r="B22" s="975" t="s">
        <v>218</v>
      </c>
      <c r="C22" s="974">
        <v>2805.7109999999998</v>
      </c>
      <c r="D22" s="973">
        <v>992.88</v>
      </c>
      <c r="E22" s="973">
        <v>3436.39</v>
      </c>
      <c r="F22" s="973">
        <v>4865.74</v>
      </c>
      <c r="G22" s="973">
        <v>4894</v>
      </c>
      <c r="H22" s="973">
        <v>4915</v>
      </c>
      <c r="I22" s="973">
        <v>4986</v>
      </c>
      <c r="J22" s="998">
        <v>5090</v>
      </c>
      <c r="K22" s="1400" t="s">
        <v>39</v>
      </c>
      <c r="L22" s="972"/>
      <c r="M22" s="971"/>
      <c r="N22" s="971"/>
      <c r="O22" s="971"/>
      <c r="P22" s="970"/>
    </row>
    <row r="23" spans="1:16" ht="21.75" customHeight="1">
      <c r="A23" s="1399">
        <v>19</v>
      </c>
      <c r="B23" s="975" t="s">
        <v>907</v>
      </c>
      <c r="C23" s="974">
        <v>9736</v>
      </c>
      <c r="D23" s="973">
        <v>10457</v>
      </c>
      <c r="E23" s="973">
        <v>10614</v>
      </c>
      <c r="F23" s="973">
        <v>10824</v>
      </c>
      <c r="G23" s="973">
        <v>11049</v>
      </c>
      <c r="H23" s="973">
        <v>12217</v>
      </c>
      <c r="I23" s="973">
        <v>11557</v>
      </c>
      <c r="J23" s="998">
        <v>11688</v>
      </c>
      <c r="K23" s="1400" t="s">
        <v>35</v>
      </c>
      <c r="L23" s="972"/>
      <c r="M23" s="971"/>
      <c r="N23" s="971"/>
      <c r="O23" s="971"/>
      <c r="P23" s="970"/>
    </row>
    <row r="24" spans="1:16" ht="21.75" customHeight="1">
      <c r="A24" s="1399">
        <v>20</v>
      </c>
      <c r="B24" s="975" t="s">
        <v>1611</v>
      </c>
      <c r="C24" s="974">
        <v>171.524</v>
      </c>
      <c r="D24" s="973">
        <v>216.959</v>
      </c>
      <c r="E24" s="973">
        <v>197.648</v>
      </c>
      <c r="F24" s="973">
        <v>210.41399999999999</v>
      </c>
      <c r="G24" s="973">
        <v>195.28100000000001</v>
      </c>
      <c r="H24" s="973">
        <v>223.774</v>
      </c>
      <c r="I24" s="973">
        <v>135.47999999999999</v>
      </c>
      <c r="J24" s="998">
        <v>113.81100000000001</v>
      </c>
      <c r="K24" s="1400" t="s">
        <v>36</v>
      </c>
      <c r="L24" s="972"/>
      <c r="M24" s="971"/>
      <c r="N24" s="971"/>
      <c r="O24" s="971"/>
      <c r="P24" s="970"/>
    </row>
    <row r="25" spans="1:16" ht="21.75" customHeight="1">
      <c r="A25" s="1399">
        <v>21</v>
      </c>
      <c r="B25" s="975" t="s">
        <v>219</v>
      </c>
      <c r="C25" s="974">
        <v>3060</v>
      </c>
      <c r="D25" s="973">
        <v>3711.9800000000005</v>
      </c>
      <c r="E25" s="973">
        <v>2623.5</v>
      </c>
      <c r="F25" s="973">
        <v>2982.0499999999997</v>
      </c>
      <c r="G25" s="973">
        <v>3190.0200000000004</v>
      </c>
      <c r="H25" s="973">
        <v>3630.02</v>
      </c>
      <c r="I25" s="973">
        <v>3629.8</v>
      </c>
      <c r="J25" s="998">
        <v>3630.0200000000004</v>
      </c>
      <c r="K25" s="1400" t="s">
        <v>37</v>
      </c>
      <c r="L25" s="972"/>
      <c r="M25" s="971"/>
      <c r="N25" s="971"/>
      <c r="O25" s="971"/>
      <c r="P25" s="970"/>
    </row>
    <row r="26" spans="1:16" s="966" customFormat="1" ht="21.75" customHeight="1">
      <c r="A26" s="2371" t="s">
        <v>2040</v>
      </c>
      <c r="B26" s="2372"/>
      <c r="C26" s="969">
        <f t="shared" ref="C26:J26" si="0">SUM(C5:C25)</f>
        <v>54779.915000000001</v>
      </c>
      <c r="D26" s="968">
        <f t="shared" si="0"/>
        <v>56132.406000000003</v>
      </c>
      <c r="E26" s="968">
        <f t="shared" si="0"/>
        <v>55631.238000000005</v>
      </c>
      <c r="F26" s="968">
        <f t="shared" si="0"/>
        <v>60315.523000000001</v>
      </c>
      <c r="G26" s="968">
        <f t="shared" si="0"/>
        <v>56402.150999999998</v>
      </c>
      <c r="H26" s="968">
        <f t="shared" si="0"/>
        <v>58613.019</v>
      </c>
      <c r="I26" s="968">
        <f t="shared" si="0"/>
        <v>58336.20900000001</v>
      </c>
      <c r="J26" s="968">
        <f t="shared" si="0"/>
        <v>54140.069109999997</v>
      </c>
      <c r="K26" s="1401"/>
    </row>
    <row r="27" spans="1:16" ht="21.75" customHeight="1">
      <c r="A27" s="1402" t="s">
        <v>2047</v>
      </c>
      <c r="B27" s="991"/>
      <c r="C27" s="997"/>
      <c r="D27" s="989"/>
      <c r="E27" s="989"/>
      <c r="F27" s="989"/>
      <c r="G27" s="989"/>
      <c r="H27" s="989"/>
      <c r="I27" s="989"/>
      <c r="J27" s="988"/>
      <c r="K27" s="1403"/>
    </row>
    <row r="28" spans="1:16" ht="21.75" customHeight="1">
      <c r="A28" s="1399">
        <v>22</v>
      </c>
      <c r="B28" s="975" t="s">
        <v>912</v>
      </c>
      <c r="C28" s="985">
        <v>17.899999999999999</v>
      </c>
      <c r="D28" s="980">
        <v>17</v>
      </c>
      <c r="E28" s="980">
        <v>18</v>
      </c>
      <c r="F28" s="978" t="s">
        <v>2042</v>
      </c>
      <c r="G28" s="980">
        <v>4.5999999999999996</v>
      </c>
      <c r="H28" s="980">
        <v>4.95</v>
      </c>
      <c r="I28" s="980">
        <v>1.9500000000000002</v>
      </c>
      <c r="J28" s="982">
        <v>2.5499999999999998</v>
      </c>
      <c r="K28" s="1400" t="s">
        <v>15</v>
      </c>
      <c r="L28" s="972"/>
      <c r="M28" s="983"/>
      <c r="N28" s="971"/>
      <c r="O28" s="971"/>
      <c r="P28" s="970"/>
    </row>
    <row r="29" spans="1:16" ht="21.75" customHeight="1">
      <c r="A29" s="1399">
        <v>23</v>
      </c>
      <c r="B29" s="975" t="s">
        <v>215</v>
      </c>
      <c r="C29" s="974">
        <v>190</v>
      </c>
      <c r="D29" s="973">
        <v>185</v>
      </c>
      <c r="E29" s="973">
        <v>306</v>
      </c>
      <c r="F29" s="973">
        <v>240.5</v>
      </c>
      <c r="G29" s="973">
        <v>256.05</v>
      </c>
      <c r="H29" s="973">
        <v>410.39</v>
      </c>
      <c r="I29" s="973">
        <v>419.5</v>
      </c>
      <c r="J29" s="982">
        <v>427.5</v>
      </c>
      <c r="K29" s="1400" t="s">
        <v>21</v>
      </c>
      <c r="L29" s="972"/>
      <c r="M29" s="971"/>
      <c r="N29" s="971"/>
      <c r="O29" s="971"/>
      <c r="P29" s="970"/>
    </row>
    <row r="30" spans="1:16" ht="21.75" customHeight="1">
      <c r="A30" s="1399">
        <v>24</v>
      </c>
      <c r="B30" s="975" t="s">
        <v>1137</v>
      </c>
      <c r="C30" s="974">
        <v>30.729999999999997</v>
      </c>
      <c r="D30" s="973">
        <v>29.86</v>
      </c>
      <c r="E30" s="973">
        <v>33</v>
      </c>
      <c r="F30" s="973">
        <v>26.85</v>
      </c>
      <c r="G30" s="973" t="s">
        <v>2042</v>
      </c>
      <c r="H30" s="973">
        <v>25.1</v>
      </c>
      <c r="I30" s="973">
        <v>45.55</v>
      </c>
      <c r="J30" s="982" t="s">
        <v>2042</v>
      </c>
      <c r="K30" s="1400" t="s">
        <v>19</v>
      </c>
      <c r="L30" s="972"/>
      <c r="M30" s="971"/>
      <c r="N30" s="977"/>
      <c r="O30" s="971"/>
      <c r="P30" s="970"/>
    </row>
    <row r="31" spans="1:16" ht="21.75" customHeight="1">
      <c r="A31" s="1399">
        <v>25</v>
      </c>
      <c r="B31" s="975" t="s">
        <v>908</v>
      </c>
      <c r="C31" s="974">
        <v>27.509999999999998</v>
      </c>
      <c r="D31" s="979" t="s">
        <v>2042</v>
      </c>
      <c r="E31" s="979" t="s">
        <v>2046</v>
      </c>
      <c r="F31" s="979" t="s">
        <v>2046</v>
      </c>
      <c r="G31" s="973" t="s">
        <v>2046</v>
      </c>
      <c r="H31" s="979" t="s">
        <v>2046</v>
      </c>
      <c r="I31" s="979" t="s">
        <v>2046</v>
      </c>
      <c r="J31" s="996" t="s">
        <v>2046</v>
      </c>
      <c r="K31" s="1400" t="s">
        <v>8</v>
      </c>
      <c r="L31" s="972"/>
      <c r="M31" s="993"/>
      <c r="N31" s="993"/>
      <c r="O31" s="993"/>
      <c r="P31" s="993"/>
    </row>
    <row r="32" spans="1:16" ht="21.75" customHeight="1">
      <c r="A32" s="1399">
        <v>26</v>
      </c>
      <c r="B32" s="975" t="s">
        <v>217</v>
      </c>
      <c r="C32" s="974">
        <v>804.86</v>
      </c>
      <c r="D32" s="979" t="s">
        <v>2042</v>
      </c>
      <c r="E32" s="973">
        <v>8.82</v>
      </c>
      <c r="F32" s="979" t="s">
        <v>2042</v>
      </c>
      <c r="G32" s="973">
        <v>26.01</v>
      </c>
      <c r="H32" s="973">
        <v>27.44</v>
      </c>
      <c r="I32" s="973" t="s">
        <v>2042</v>
      </c>
      <c r="J32" s="982">
        <v>22.709999999999997</v>
      </c>
      <c r="K32" s="1400" t="s">
        <v>30</v>
      </c>
      <c r="L32" s="972"/>
      <c r="M32" s="983"/>
      <c r="N32" s="971"/>
      <c r="O32" s="971"/>
      <c r="P32" s="970"/>
    </row>
    <row r="33" spans="1:16" ht="21.75" customHeight="1">
      <c r="A33" s="1399">
        <v>27</v>
      </c>
      <c r="B33" s="975" t="s">
        <v>139</v>
      </c>
      <c r="C33" s="974">
        <v>20</v>
      </c>
      <c r="D33" s="973">
        <v>20</v>
      </c>
      <c r="E33" s="973">
        <v>20</v>
      </c>
      <c r="F33" s="973">
        <v>20</v>
      </c>
      <c r="G33" s="973">
        <v>21</v>
      </c>
      <c r="H33" s="973">
        <v>19</v>
      </c>
      <c r="I33" s="973">
        <v>36</v>
      </c>
      <c r="J33" s="982">
        <v>40.97</v>
      </c>
      <c r="K33" s="1400" t="s">
        <v>31</v>
      </c>
      <c r="L33" s="972"/>
      <c r="M33" s="971"/>
      <c r="N33" s="971"/>
      <c r="O33" s="971"/>
      <c r="P33" s="970"/>
    </row>
    <row r="34" spans="1:16" ht="21.75" customHeight="1">
      <c r="A34" s="1399">
        <v>28</v>
      </c>
      <c r="B34" s="987" t="s">
        <v>1139</v>
      </c>
      <c r="C34" s="995" t="s">
        <v>2046</v>
      </c>
      <c r="D34" s="994" t="s">
        <v>2046</v>
      </c>
      <c r="E34" s="979" t="s">
        <v>2046</v>
      </c>
      <c r="F34" s="979" t="s">
        <v>2046</v>
      </c>
      <c r="G34" s="979" t="s">
        <v>2046</v>
      </c>
      <c r="H34" s="979" t="s">
        <v>2046</v>
      </c>
      <c r="I34" s="979" t="s">
        <v>2046</v>
      </c>
      <c r="J34" s="982" t="s">
        <v>2042</v>
      </c>
      <c r="K34" s="1400" t="s">
        <v>20</v>
      </c>
      <c r="L34" s="972"/>
      <c r="M34" s="993"/>
      <c r="N34" s="993"/>
      <c r="O34" s="993"/>
      <c r="P34" s="992"/>
    </row>
    <row r="35" spans="1:16" ht="21.75" customHeight="1">
      <c r="A35" s="1399">
        <v>29</v>
      </c>
      <c r="B35" s="987" t="s">
        <v>1136</v>
      </c>
      <c r="C35" s="974">
        <v>346.36</v>
      </c>
      <c r="D35" s="973">
        <v>292.512</v>
      </c>
      <c r="E35" s="973">
        <v>298.28399999999999</v>
      </c>
      <c r="F35" s="973">
        <v>329.67499999999995</v>
      </c>
      <c r="G35" s="973">
        <v>349.12400000000002</v>
      </c>
      <c r="H35" s="973">
        <v>364</v>
      </c>
      <c r="I35" s="973" t="s">
        <v>2042</v>
      </c>
      <c r="J35" s="982" t="s">
        <v>2042</v>
      </c>
      <c r="K35" s="1400" t="s">
        <v>34</v>
      </c>
      <c r="L35" s="972"/>
      <c r="M35" s="971"/>
      <c r="N35" s="971"/>
      <c r="O35" s="977"/>
      <c r="P35" s="976"/>
    </row>
    <row r="36" spans="1:16" s="966" customFormat="1" ht="21.75" customHeight="1">
      <c r="A36" s="2371" t="s">
        <v>2040</v>
      </c>
      <c r="B36" s="2372"/>
      <c r="C36" s="969">
        <f>SUM(C28:C35)</f>
        <v>1437.3600000000001</v>
      </c>
      <c r="D36" s="968">
        <f>SUM(D28:D35)</f>
        <v>544.37200000000007</v>
      </c>
      <c r="E36" s="968">
        <v>684.10400000000004</v>
      </c>
      <c r="F36" s="968">
        <v>617.02499999999998</v>
      </c>
      <c r="G36" s="968">
        <v>656.78400000000011</v>
      </c>
      <c r="H36" s="968">
        <v>850.88</v>
      </c>
      <c r="I36" s="968">
        <v>503</v>
      </c>
      <c r="J36" s="968">
        <f>J28+J29+J32+J33</f>
        <v>493.73</v>
      </c>
      <c r="K36" s="1403"/>
    </row>
    <row r="37" spans="1:16" ht="21.75" customHeight="1">
      <c r="A37" s="1402" t="s">
        <v>118</v>
      </c>
      <c r="B37" s="991"/>
      <c r="C37" s="990"/>
      <c r="D37" s="989"/>
      <c r="E37" s="989"/>
      <c r="F37" s="989"/>
      <c r="G37" s="989"/>
      <c r="H37" s="989"/>
      <c r="I37" s="989"/>
      <c r="J37" s="988"/>
      <c r="K37" s="1403"/>
    </row>
    <row r="38" spans="1:16" ht="31.5" customHeight="1">
      <c r="A38" s="1399">
        <v>30</v>
      </c>
      <c r="B38" s="986" t="s">
        <v>1610</v>
      </c>
      <c r="C38" s="985">
        <v>8.27</v>
      </c>
      <c r="D38" s="978" t="s">
        <v>2042</v>
      </c>
      <c r="E38" s="978" t="s">
        <v>2042</v>
      </c>
      <c r="F38" s="978" t="s">
        <v>2042</v>
      </c>
      <c r="G38" s="978" t="s">
        <v>2042</v>
      </c>
      <c r="H38" s="978" t="s">
        <v>2042</v>
      </c>
      <c r="I38" s="978">
        <v>1.4173</v>
      </c>
      <c r="J38" s="1153" t="s">
        <v>2042</v>
      </c>
      <c r="K38" s="1400" t="s">
        <v>1390</v>
      </c>
      <c r="L38" s="972"/>
      <c r="M38" s="983"/>
      <c r="N38" s="977"/>
      <c r="O38" s="977"/>
      <c r="P38" s="970"/>
    </row>
    <row r="39" spans="1:16" ht="21.75" customHeight="1">
      <c r="A39" s="1399">
        <v>31</v>
      </c>
      <c r="B39" s="975" t="s">
        <v>1158</v>
      </c>
      <c r="C39" s="981" t="s">
        <v>2042</v>
      </c>
      <c r="D39" s="979" t="s">
        <v>2042</v>
      </c>
      <c r="E39" s="979" t="s">
        <v>2042</v>
      </c>
      <c r="F39" s="979" t="s">
        <v>2042</v>
      </c>
      <c r="G39" s="978" t="s">
        <v>2042</v>
      </c>
      <c r="H39" s="978" t="s">
        <v>2042</v>
      </c>
      <c r="I39" s="978" t="s">
        <v>2042</v>
      </c>
      <c r="J39" s="1153" t="s">
        <v>2042</v>
      </c>
      <c r="K39" s="1400" t="s">
        <v>38</v>
      </c>
      <c r="L39" s="972"/>
      <c r="M39" s="983"/>
      <c r="N39" s="977"/>
      <c r="O39" s="977"/>
      <c r="P39" s="976"/>
    </row>
    <row r="40" spans="1:16" ht="21.75" customHeight="1">
      <c r="A40" s="1399" t="s">
        <v>2045</v>
      </c>
      <c r="B40" s="975" t="s">
        <v>1149</v>
      </c>
      <c r="C40" s="981" t="s">
        <v>2042</v>
      </c>
      <c r="D40" s="979" t="s">
        <v>2042</v>
      </c>
      <c r="E40" s="979" t="s">
        <v>2042</v>
      </c>
      <c r="F40" s="979" t="s">
        <v>2042</v>
      </c>
      <c r="G40" s="978" t="s">
        <v>2042</v>
      </c>
      <c r="H40" s="2376" t="s">
        <v>2042</v>
      </c>
      <c r="I40" s="2376" t="s">
        <v>2042</v>
      </c>
      <c r="J40" s="2378" t="s">
        <v>2042</v>
      </c>
      <c r="K40" s="1400" t="s">
        <v>107</v>
      </c>
      <c r="L40" s="984"/>
      <c r="M40" s="983"/>
      <c r="N40" s="977"/>
      <c r="O40" s="977"/>
      <c r="P40" s="976"/>
    </row>
    <row r="41" spans="1:16" ht="21.75" customHeight="1">
      <c r="A41" s="1399" t="s">
        <v>2044</v>
      </c>
      <c r="B41" s="975" t="s">
        <v>1148</v>
      </c>
      <c r="C41" s="981" t="s">
        <v>2042</v>
      </c>
      <c r="D41" s="979" t="s">
        <v>2042</v>
      </c>
      <c r="E41" s="979" t="s">
        <v>2042</v>
      </c>
      <c r="F41" s="979" t="s">
        <v>2042</v>
      </c>
      <c r="G41" s="978" t="s">
        <v>2042</v>
      </c>
      <c r="H41" s="2377"/>
      <c r="I41" s="2377"/>
      <c r="J41" s="2379"/>
      <c r="K41" s="1400" t="s">
        <v>4</v>
      </c>
    </row>
    <row r="42" spans="1:16" ht="21.75" customHeight="1">
      <c r="A42" s="1399">
        <v>34</v>
      </c>
      <c r="B42" s="975" t="s">
        <v>1157</v>
      </c>
      <c r="C42" s="981" t="s">
        <v>2042</v>
      </c>
      <c r="D42" s="979" t="s">
        <v>2042</v>
      </c>
      <c r="E42" s="973">
        <v>88</v>
      </c>
      <c r="F42" s="979" t="s">
        <v>2042</v>
      </c>
      <c r="G42" s="973">
        <v>110</v>
      </c>
      <c r="H42" s="978" t="s">
        <v>2042</v>
      </c>
      <c r="I42" s="978" t="s">
        <v>2042</v>
      </c>
      <c r="J42" s="1153" t="s">
        <v>2042</v>
      </c>
      <c r="K42" s="1400" t="s">
        <v>24</v>
      </c>
      <c r="L42" s="972"/>
      <c r="M42" s="983"/>
      <c r="N42" s="971"/>
      <c r="O42" s="977"/>
      <c r="P42" s="976"/>
    </row>
    <row r="43" spans="1:16" ht="21.75" customHeight="1">
      <c r="A43" s="1399">
        <v>35</v>
      </c>
      <c r="B43" s="975" t="s">
        <v>1154</v>
      </c>
      <c r="C43" s="981"/>
      <c r="D43" s="979"/>
      <c r="E43" s="973">
        <v>2187.7460000000001</v>
      </c>
      <c r="F43" s="979">
        <v>2429.9049999999997</v>
      </c>
      <c r="G43" s="980">
        <v>2458.6859999999997</v>
      </c>
      <c r="H43" s="978">
        <v>2198</v>
      </c>
      <c r="I43" s="978">
        <v>3352</v>
      </c>
      <c r="J43" s="982">
        <v>4086.3229999999999</v>
      </c>
      <c r="K43" s="1404" t="s">
        <v>26</v>
      </c>
      <c r="L43" s="972"/>
      <c r="M43" s="971"/>
      <c r="N43" s="971"/>
      <c r="O43" s="971"/>
      <c r="P43" s="970"/>
    </row>
    <row r="44" spans="1:16" ht="21.75" customHeight="1">
      <c r="A44" s="1399">
        <v>36</v>
      </c>
      <c r="B44" s="975" t="s">
        <v>2043</v>
      </c>
      <c r="C44" s="981"/>
      <c r="D44" s="979"/>
      <c r="E44" s="973" t="s">
        <v>2042</v>
      </c>
      <c r="F44" s="979" t="s">
        <v>2042</v>
      </c>
      <c r="G44" s="980" t="s">
        <v>2042</v>
      </c>
      <c r="H44" s="978" t="s">
        <v>2042</v>
      </c>
      <c r="I44" s="978" t="s">
        <v>2042</v>
      </c>
      <c r="J44" s="1153" t="s">
        <v>2042</v>
      </c>
      <c r="K44" s="1404" t="s">
        <v>649</v>
      </c>
      <c r="L44" s="972"/>
      <c r="M44" s="977"/>
      <c r="N44" s="977"/>
      <c r="O44" s="977"/>
      <c r="P44" s="976"/>
    </row>
    <row r="45" spans="1:16" ht="21.75" customHeight="1">
      <c r="A45" s="1399">
        <v>37</v>
      </c>
      <c r="B45" s="975" t="s">
        <v>1609</v>
      </c>
      <c r="C45" s="974" t="s">
        <v>2042</v>
      </c>
      <c r="D45" s="979" t="s">
        <v>2042</v>
      </c>
      <c r="E45" s="979" t="s">
        <v>2042</v>
      </c>
      <c r="F45" s="979" t="s">
        <v>2042</v>
      </c>
      <c r="G45" s="978" t="s">
        <v>2042</v>
      </c>
      <c r="H45" s="978" t="s">
        <v>2042</v>
      </c>
      <c r="I45" s="978" t="s">
        <v>2042</v>
      </c>
      <c r="J45" s="1153" t="s">
        <v>2042</v>
      </c>
      <c r="K45" s="1400" t="s">
        <v>7</v>
      </c>
      <c r="L45" s="972"/>
      <c r="M45" s="977"/>
      <c r="N45" s="977"/>
      <c r="O45" s="977"/>
      <c r="P45" s="976"/>
    </row>
    <row r="46" spans="1:16" ht="21.75" customHeight="1">
      <c r="A46" s="1399">
        <v>39</v>
      </c>
      <c r="B46" s="975" t="s">
        <v>873</v>
      </c>
      <c r="C46" s="974">
        <v>42.12</v>
      </c>
      <c r="D46" s="973">
        <v>43.34</v>
      </c>
      <c r="E46" s="973">
        <v>43.34</v>
      </c>
      <c r="F46" s="973">
        <v>43.33</v>
      </c>
      <c r="G46" s="973">
        <v>42.31</v>
      </c>
      <c r="H46" s="973">
        <v>40</v>
      </c>
      <c r="I46" s="973" t="s">
        <v>2042</v>
      </c>
      <c r="J46" s="1153" t="s">
        <v>2042</v>
      </c>
      <c r="K46" s="1400" t="s">
        <v>1582</v>
      </c>
      <c r="L46" s="972"/>
      <c r="M46" s="971"/>
      <c r="N46" s="971"/>
      <c r="O46" s="971"/>
      <c r="P46" s="970"/>
    </row>
    <row r="47" spans="1:16" s="966" customFormat="1" ht="21.75" customHeight="1">
      <c r="A47" s="2371" t="s">
        <v>2041</v>
      </c>
      <c r="B47" s="2372"/>
      <c r="C47" s="969">
        <f>SUM(C38:C46)</f>
        <v>50.39</v>
      </c>
      <c r="D47" s="968">
        <f>SUM(D38:D46)</f>
        <v>43.34</v>
      </c>
      <c r="E47" s="968">
        <v>2319.0860000000002</v>
      </c>
      <c r="F47" s="968">
        <v>2473.2349999999997</v>
      </c>
      <c r="G47" s="968">
        <v>2610.9959999999996</v>
      </c>
      <c r="H47" s="968">
        <v>2238</v>
      </c>
      <c r="I47" s="968">
        <v>3353.4173000000001</v>
      </c>
      <c r="J47" s="967">
        <f>J43</f>
        <v>4086.3229999999999</v>
      </c>
      <c r="K47" s="1405" t="s">
        <v>2040</v>
      </c>
    </row>
    <row r="48" spans="1:16" s="963" customFormat="1" ht="21.75" customHeight="1">
      <c r="A48" s="2360" t="s">
        <v>132</v>
      </c>
      <c r="B48" s="2361"/>
      <c r="C48" s="965">
        <f t="shared" ref="C48:H48" si="1">C26+C36+C47</f>
        <v>56267.665000000001</v>
      </c>
      <c r="D48" s="965">
        <f t="shared" si="1"/>
        <v>56720.118000000002</v>
      </c>
      <c r="E48" s="965">
        <f t="shared" si="1"/>
        <v>58634.428000000007</v>
      </c>
      <c r="F48" s="965">
        <f t="shared" si="1"/>
        <v>63405.783000000003</v>
      </c>
      <c r="G48" s="965">
        <f t="shared" si="1"/>
        <v>59669.930999999997</v>
      </c>
      <c r="H48" s="965">
        <f t="shared" si="1"/>
        <v>61701.898999999998</v>
      </c>
      <c r="I48" s="965">
        <v>62192.626300000011</v>
      </c>
      <c r="J48" s="964">
        <f>J47+J36+J26</f>
        <v>58720.122109999997</v>
      </c>
      <c r="K48" s="1406" t="s">
        <v>50</v>
      </c>
    </row>
    <row r="49" spans="1:11" ht="16.5" customHeight="1">
      <c r="A49" s="2362" t="s">
        <v>2039</v>
      </c>
      <c r="B49" s="2363"/>
      <c r="C49" s="2363"/>
      <c r="D49" s="2363"/>
      <c r="E49" s="2363"/>
      <c r="F49" s="2363"/>
      <c r="G49" s="2363"/>
      <c r="H49" s="2363"/>
      <c r="I49" s="2363"/>
      <c r="J49" s="2363"/>
      <c r="K49" s="2364"/>
    </row>
    <row r="50" spans="1:11" ht="15">
      <c r="A50" s="1407" t="s">
        <v>2038</v>
      </c>
      <c r="B50" s="1408"/>
      <c r="C50" s="1408"/>
      <c r="D50" s="1409"/>
      <c r="E50" s="1410"/>
      <c r="F50" s="1411"/>
      <c r="G50" s="1412"/>
      <c r="H50" s="1412"/>
      <c r="I50" s="1412"/>
      <c r="J50" s="1412"/>
      <c r="K50" s="1413"/>
    </row>
    <row r="51" spans="1:11" ht="15">
      <c r="A51" s="1414" t="s">
        <v>2037</v>
      </c>
      <c r="B51" s="1411"/>
      <c r="C51" s="1410"/>
      <c r="D51" s="1410" t="s">
        <v>2036</v>
      </c>
      <c r="E51" s="1411"/>
      <c r="F51" s="1411"/>
      <c r="G51" s="1411"/>
      <c r="H51" s="1410"/>
      <c r="I51" s="1410"/>
      <c r="J51" s="1410"/>
      <c r="K51" s="1415"/>
    </row>
    <row r="52" spans="1:11" ht="15.75" customHeight="1">
      <c r="A52" s="2357" t="s">
        <v>2035</v>
      </c>
      <c r="B52" s="2358"/>
      <c r="C52" s="2358"/>
      <c r="D52" s="2358"/>
      <c r="E52" s="2358"/>
      <c r="F52" s="2358"/>
      <c r="G52" s="2358"/>
      <c r="H52" s="2358"/>
      <c r="I52" s="2358"/>
      <c r="J52" s="2358"/>
      <c r="K52" s="2359"/>
    </row>
    <row r="53" spans="1:11" thickBot="1">
      <c r="A53" s="2354" t="s">
        <v>2034</v>
      </c>
      <c r="B53" s="2355"/>
      <c r="C53" s="2355"/>
      <c r="D53" s="2355"/>
      <c r="E53" s="2355"/>
      <c r="F53" s="2355"/>
      <c r="G53" s="2355"/>
      <c r="H53" s="2355"/>
      <c r="I53" s="2355"/>
      <c r="J53" s="2355"/>
      <c r="K53" s="2356"/>
    </row>
    <row r="54" spans="1:11" ht="16.5" thickTop="1"/>
  </sheetData>
  <mergeCells count="13">
    <mergeCell ref="A53:K53"/>
    <mergeCell ref="A52:K52"/>
    <mergeCell ref="A48:B48"/>
    <mergeCell ref="A49:K49"/>
    <mergeCell ref="A1:K1"/>
    <mergeCell ref="A2:K2"/>
    <mergeCell ref="A26:B26"/>
    <mergeCell ref="A36:B36"/>
    <mergeCell ref="A47:B47"/>
    <mergeCell ref="A3:K3"/>
    <mergeCell ref="H40:H41"/>
    <mergeCell ref="I40:I41"/>
    <mergeCell ref="J40:J41"/>
  </mergeCells>
  <conditionalFormatting sqref="M4:XFD4 L26:XFD27 M25:P25 R5:XFD25 L36:XFD37 R28:XFD35 L47:XFD48 M46:P46 R38:XFD46">
    <cfRule type="expression" dxfId="36" priority="3">
      <formula>MOD(ROW(),3)=1</formula>
    </cfRule>
  </conditionalFormatting>
  <conditionalFormatting sqref="A5:K48">
    <cfRule type="expression" dxfId="35" priority="1">
      <formula>MOD(ROW(),3)=1</formula>
    </cfRule>
  </conditionalFormatting>
  <pageMargins left="0.6692913385826772" right="0.15748031496062992" top="0.55118110236220474" bottom="0.1" header="0.31496062992125984" footer="0.13"/>
  <pageSetup paperSize="9" scale="67" fitToWidth="0" fitToHeight="0" orientation="portrait" r:id="rId1"/>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60496-E4E7-49CD-95D1-DB14AEBE9106}">
  <dimension ref="A1:AB31"/>
  <sheetViews>
    <sheetView view="pageBreakPreview" zoomScaleSheetLayoutView="100" workbookViewId="0">
      <selection activeCell="S17" sqref="S17"/>
    </sheetView>
  </sheetViews>
  <sheetFormatPr defaultColWidth="9.140625" defaultRowHeight="15"/>
  <cols>
    <col min="1" max="1" width="45" customWidth="1"/>
    <col min="2" max="2" width="45.5703125" customWidth="1"/>
  </cols>
  <sheetData>
    <row r="1" spans="1:28" s="9" customFormat="1" ht="25.5" customHeight="1" thickTop="1">
      <c r="A1" s="2381" t="s">
        <v>2797</v>
      </c>
      <c r="B1" s="2382"/>
    </row>
    <row r="2" spans="1:28" s="9" customFormat="1" ht="25.5" customHeight="1">
      <c r="A2" s="2313" t="s">
        <v>2798</v>
      </c>
      <c r="B2" s="2380"/>
    </row>
    <row r="3" spans="1:28" s="9" customFormat="1" ht="25.5" customHeight="1">
      <c r="A3" s="2383" t="s">
        <v>2057</v>
      </c>
      <c r="B3" s="2384"/>
    </row>
    <row r="4" spans="1:28" s="82" customFormat="1" ht="56.25" customHeight="1">
      <c r="A4" s="1165" t="s">
        <v>899</v>
      </c>
      <c r="B4" s="207" t="s">
        <v>2056</v>
      </c>
      <c r="AB4" s="770" t="s">
        <v>520</v>
      </c>
    </row>
    <row r="5" spans="1:28" s="9" customFormat="1" ht="29.25" customHeight="1">
      <c r="A5" s="145" t="s">
        <v>931</v>
      </c>
      <c r="B5" s="921">
        <v>47.02</v>
      </c>
    </row>
    <row r="6" spans="1:28" s="9" customFormat="1" ht="29.25" customHeight="1">
      <c r="A6" s="145" t="s">
        <v>930</v>
      </c>
      <c r="B6" s="921">
        <v>48.35</v>
      </c>
    </row>
    <row r="7" spans="1:28" s="9" customFormat="1" ht="29.25" customHeight="1">
      <c r="A7" s="145" t="s">
        <v>487</v>
      </c>
      <c r="B7" s="921">
        <v>41.02</v>
      </c>
    </row>
    <row r="8" spans="1:28" s="9" customFormat="1" ht="29.25" customHeight="1">
      <c r="A8" s="145" t="s">
        <v>486</v>
      </c>
      <c r="B8" s="921">
        <v>40.67</v>
      </c>
    </row>
    <row r="9" spans="1:28" s="9" customFormat="1" ht="29.25" customHeight="1">
      <c r="A9" s="145" t="s">
        <v>485</v>
      </c>
      <c r="B9" s="921">
        <v>39.770000000000003</v>
      </c>
    </row>
    <row r="10" spans="1:28" s="9" customFormat="1" ht="29.25" customHeight="1">
      <c r="A10" s="145" t="s">
        <v>484</v>
      </c>
      <c r="B10" s="921">
        <v>43.41</v>
      </c>
    </row>
    <row r="11" spans="1:28" s="9" customFormat="1" ht="29.25" customHeight="1">
      <c r="A11" s="145" t="s">
        <v>483</v>
      </c>
      <c r="B11" s="921">
        <v>41.64</v>
      </c>
    </row>
    <row r="12" spans="1:28" s="9" customFormat="1" ht="29.25" customHeight="1">
      <c r="A12" s="145" t="s">
        <v>482</v>
      </c>
      <c r="B12" s="921">
        <v>43.86</v>
      </c>
    </row>
    <row r="13" spans="1:28" s="9" customFormat="1" ht="29.25" customHeight="1">
      <c r="A13" s="145" t="s">
        <v>497</v>
      </c>
      <c r="B13" s="921">
        <v>41.82</v>
      </c>
    </row>
    <row r="14" spans="1:28" s="9" customFormat="1" ht="29.25" customHeight="1">
      <c r="A14" s="145" t="s">
        <v>1</v>
      </c>
      <c r="B14" s="921">
        <v>55.54</v>
      </c>
    </row>
    <row r="15" spans="1:28" s="9" customFormat="1" ht="29.25" customHeight="1">
      <c r="A15" s="145" t="s">
        <v>2</v>
      </c>
      <c r="B15" s="921">
        <v>52.98</v>
      </c>
    </row>
    <row r="16" spans="1:28" s="9" customFormat="1" ht="29.25" customHeight="1">
      <c r="A16" s="145" t="s">
        <v>3</v>
      </c>
      <c r="B16" s="921">
        <v>45.62</v>
      </c>
    </row>
    <row r="17" spans="1:6" s="9" customFormat="1" ht="29.25" customHeight="1">
      <c r="A17" s="145" t="s">
        <v>13</v>
      </c>
      <c r="B17" s="921">
        <v>60.28</v>
      </c>
    </row>
    <row r="18" spans="1:6" s="9" customFormat="1" ht="29.25" customHeight="1">
      <c r="A18" s="145" t="s">
        <v>41</v>
      </c>
      <c r="B18" s="921">
        <v>56.27</v>
      </c>
    </row>
    <row r="19" spans="1:6" s="9" customFormat="1" ht="29.25" customHeight="1">
      <c r="A19" s="145" t="s">
        <v>42</v>
      </c>
      <c r="B19" s="921">
        <v>56.72</v>
      </c>
    </row>
    <row r="20" spans="1:6" s="9" customFormat="1" ht="29.25" customHeight="1">
      <c r="A20" s="145" t="s">
        <v>129</v>
      </c>
      <c r="B20" s="921">
        <v>58.63</v>
      </c>
    </row>
    <row r="21" spans="1:6" s="9" customFormat="1" ht="29.25" customHeight="1">
      <c r="A21" s="145" t="s">
        <v>142</v>
      </c>
      <c r="B21" s="921">
        <v>63.41</v>
      </c>
    </row>
    <row r="22" spans="1:6" s="9" customFormat="1" ht="29.25" customHeight="1">
      <c r="A22" s="145" t="s">
        <v>276</v>
      </c>
      <c r="B22" s="1416">
        <v>59.67</v>
      </c>
    </row>
    <row r="23" spans="1:6" s="9" customFormat="1" ht="29.25" customHeight="1">
      <c r="A23" s="145" t="s">
        <v>522</v>
      </c>
      <c r="B23" s="1417">
        <v>61.7</v>
      </c>
    </row>
    <row r="24" spans="1:6" s="9" customFormat="1" ht="29.25" customHeight="1">
      <c r="A24" s="145" t="s">
        <v>652</v>
      </c>
      <c r="B24" s="1417">
        <v>62.192999999999998</v>
      </c>
    </row>
    <row r="25" spans="1:6" s="9" customFormat="1" ht="29.25" customHeight="1">
      <c r="A25" s="145" t="s">
        <v>803</v>
      </c>
      <c r="B25" s="1417">
        <v>58.72</v>
      </c>
    </row>
    <row r="26" spans="1:6">
      <c r="A26" s="138"/>
      <c r="B26" s="202"/>
    </row>
    <row r="27" spans="1:6" ht="39" customHeight="1">
      <c r="A27" s="2215" t="s">
        <v>2055</v>
      </c>
      <c r="B27" s="2216"/>
    </row>
    <row r="28" spans="1:6" ht="34.9" customHeight="1">
      <c r="A28" s="1891" t="s">
        <v>2054</v>
      </c>
      <c r="B28" s="1893"/>
      <c r="E28" s="1008"/>
      <c r="F28" s="1008"/>
    </row>
    <row r="29" spans="1:6" ht="37.9" customHeight="1">
      <c r="A29" s="138"/>
      <c r="B29" s="202"/>
    </row>
    <row r="30" spans="1:6" ht="15.75" thickBot="1">
      <c r="A30" s="179"/>
      <c r="B30" s="195"/>
    </row>
    <row r="31" spans="1:6" ht="15.75" thickTop="1"/>
  </sheetData>
  <mergeCells count="5">
    <mergeCell ref="A2:B2"/>
    <mergeCell ref="A1:B1"/>
    <mergeCell ref="A3:B3"/>
    <mergeCell ref="A28:B28"/>
    <mergeCell ref="A27:B27"/>
  </mergeCells>
  <conditionalFormatting sqref="C4:XFD25">
    <cfRule type="expression" dxfId="34" priority="4">
      <formula>MOD(ROW(),3)=1</formula>
    </cfRule>
  </conditionalFormatting>
  <conditionalFormatting sqref="E28:F28">
    <cfRule type="expression" dxfId="33" priority="3">
      <formula>MOD(ROW(),3)=1</formula>
    </cfRule>
  </conditionalFormatting>
  <conditionalFormatting sqref="E28:F28">
    <cfRule type="expression" dxfId="32" priority="2">
      <formula>MOD(ROW(),3)=1</formula>
    </cfRule>
  </conditionalFormatting>
  <conditionalFormatting sqref="A5:B25">
    <cfRule type="expression" dxfId="31" priority="1">
      <formula>MOD(ROW(),3)=1</formula>
    </cfRule>
  </conditionalFormatting>
  <printOptions horizontalCentered="1"/>
  <pageMargins left="0.6692913385826772" right="0.15748031496062992" top="0.55118110236220474" bottom="0.74803149606299213" header="0.31496062992125984" footer="0.31496062992125984"/>
  <pageSetup paperSize="9" scale="70" orientation="portrait" r:id="rId1"/>
  <legacyDrawingHF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A38C8-94B5-4975-9BAE-1E261886A418}">
  <dimension ref="A1:X54"/>
  <sheetViews>
    <sheetView view="pageBreakPreview" zoomScaleSheetLayoutView="100" workbookViewId="0">
      <selection activeCell="S17" sqref="S17"/>
    </sheetView>
  </sheetViews>
  <sheetFormatPr defaultColWidth="8.85546875" defaultRowHeight="14.25"/>
  <cols>
    <col min="1" max="1" width="8.85546875" style="1014" customWidth="1"/>
    <col min="2" max="2" width="25.28515625" style="1013" customWidth="1"/>
    <col min="3" max="3" width="13.42578125" style="1010" hidden="1" customWidth="1"/>
    <col min="4" max="4" width="13.42578125" style="1009" hidden="1" customWidth="1"/>
    <col min="5" max="5" width="13.42578125" style="1012" customWidth="1"/>
    <col min="6" max="6" width="13.42578125" style="1011" customWidth="1"/>
    <col min="7" max="10" width="13.42578125" style="1010" customWidth="1"/>
    <col min="11" max="11" width="20.7109375" style="1010" customWidth="1"/>
    <col min="12" max="232" width="8.85546875" style="1009"/>
    <col min="233" max="233" width="8" style="1009" customWidth="1"/>
    <col min="234" max="234" width="33.42578125" style="1009" customWidth="1"/>
    <col min="235" max="239" width="14.140625" style="1009" customWidth="1"/>
    <col min="240" max="488" width="8.85546875" style="1009"/>
    <col min="489" max="489" width="8" style="1009" customWidth="1"/>
    <col min="490" max="490" width="33.42578125" style="1009" customWidth="1"/>
    <col min="491" max="495" width="14.140625" style="1009" customWidth="1"/>
    <col min="496" max="744" width="8.85546875" style="1009"/>
    <col min="745" max="745" width="8" style="1009" customWidth="1"/>
    <col min="746" max="746" width="33.42578125" style="1009" customWidth="1"/>
    <col min="747" max="751" width="14.140625" style="1009" customWidth="1"/>
    <col min="752" max="1000" width="8.85546875" style="1009"/>
    <col min="1001" max="1001" width="8" style="1009" customWidth="1"/>
    <col min="1002" max="1002" width="33.42578125" style="1009" customWidth="1"/>
    <col min="1003" max="1007" width="14.140625" style="1009" customWidth="1"/>
    <col min="1008" max="1256" width="8.85546875" style="1009"/>
    <col min="1257" max="1257" width="8" style="1009" customWidth="1"/>
    <col min="1258" max="1258" width="33.42578125" style="1009" customWidth="1"/>
    <col min="1259" max="1263" width="14.140625" style="1009" customWidth="1"/>
    <col min="1264" max="1512" width="8.85546875" style="1009"/>
    <col min="1513" max="1513" width="8" style="1009" customWidth="1"/>
    <col min="1514" max="1514" width="33.42578125" style="1009" customWidth="1"/>
    <col min="1515" max="1519" width="14.140625" style="1009" customWidth="1"/>
    <col min="1520" max="1768" width="8.85546875" style="1009"/>
    <col min="1769" max="1769" width="8" style="1009" customWidth="1"/>
    <col min="1770" max="1770" width="33.42578125" style="1009" customWidth="1"/>
    <col min="1771" max="1775" width="14.140625" style="1009" customWidth="1"/>
    <col min="1776" max="2024" width="8.85546875" style="1009"/>
    <col min="2025" max="2025" width="8" style="1009" customWidth="1"/>
    <col min="2026" max="2026" width="33.42578125" style="1009" customWidth="1"/>
    <col min="2027" max="2031" width="14.140625" style="1009" customWidth="1"/>
    <col min="2032" max="2280" width="8.85546875" style="1009"/>
    <col min="2281" max="2281" width="8" style="1009" customWidth="1"/>
    <col min="2282" max="2282" width="33.42578125" style="1009" customWidth="1"/>
    <col min="2283" max="2287" width="14.140625" style="1009" customWidth="1"/>
    <col min="2288" max="2536" width="8.85546875" style="1009"/>
    <col min="2537" max="2537" width="8" style="1009" customWidth="1"/>
    <col min="2538" max="2538" width="33.42578125" style="1009" customWidth="1"/>
    <col min="2539" max="2543" width="14.140625" style="1009" customWidth="1"/>
    <col min="2544" max="2792" width="8.85546875" style="1009"/>
    <col min="2793" max="2793" width="8" style="1009" customWidth="1"/>
    <col min="2794" max="2794" width="33.42578125" style="1009" customWidth="1"/>
    <col min="2795" max="2799" width="14.140625" style="1009" customWidth="1"/>
    <col min="2800" max="3048" width="8.85546875" style="1009"/>
    <col min="3049" max="3049" width="8" style="1009" customWidth="1"/>
    <col min="3050" max="3050" width="33.42578125" style="1009" customWidth="1"/>
    <col min="3051" max="3055" width="14.140625" style="1009" customWidth="1"/>
    <col min="3056" max="3304" width="8.85546875" style="1009"/>
    <col min="3305" max="3305" width="8" style="1009" customWidth="1"/>
    <col min="3306" max="3306" width="33.42578125" style="1009" customWidth="1"/>
    <col min="3307" max="3311" width="14.140625" style="1009" customWidth="1"/>
    <col min="3312" max="3560" width="8.85546875" style="1009"/>
    <col min="3561" max="3561" width="8" style="1009" customWidth="1"/>
    <col min="3562" max="3562" width="33.42578125" style="1009" customWidth="1"/>
    <col min="3563" max="3567" width="14.140625" style="1009" customWidth="1"/>
    <col min="3568" max="3816" width="8.85546875" style="1009"/>
    <col min="3817" max="3817" width="8" style="1009" customWidth="1"/>
    <col min="3818" max="3818" width="33.42578125" style="1009" customWidth="1"/>
    <col min="3819" max="3823" width="14.140625" style="1009" customWidth="1"/>
    <col min="3824" max="4072" width="8.85546875" style="1009"/>
    <col min="4073" max="4073" width="8" style="1009" customWidth="1"/>
    <col min="4074" max="4074" width="33.42578125" style="1009" customWidth="1"/>
    <col min="4075" max="4079" width="14.140625" style="1009" customWidth="1"/>
    <col min="4080" max="4328" width="8.85546875" style="1009"/>
    <col min="4329" max="4329" width="8" style="1009" customWidth="1"/>
    <col min="4330" max="4330" width="33.42578125" style="1009" customWidth="1"/>
    <col min="4331" max="4335" width="14.140625" style="1009" customWidth="1"/>
    <col min="4336" max="4584" width="8.85546875" style="1009"/>
    <col min="4585" max="4585" width="8" style="1009" customWidth="1"/>
    <col min="4586" max="4586" width="33.42578125" style="1009" customWidth="1"/>
    <col min="4587" max="4591" width="14.140625" style="1009" customWidth="1"/>
    <col min="4592" max="4840" width="8.85546875" style="1009"/>
    <col min="4841" max="4841" width="8" style="1009" customWidth="1"/>
    <col min="4842" max="4842" width="33.42578125" style="1009" customWidth="1"/>
    <col min="4843" max="4847" width="14.140625" style="1009" customWidth="1"/>
    <col min="4848" max="5096" width="8.85546875" style="1009"/>
    <col min="5097" max="5097" width="8" style="1009" customWidth="1"/>
    <col min="5098" max="5098" width="33.42578125" style="1009" customWidth="1"/>
    <col min="5099" max="5103" width="14.140625" style="1009" customWidth="1"/>
    <col min="5104" max="5352" width="8.85546875" style="1009"/>
    <col min="5353" max="5353" width="8" style="1009" customWidth="1"/>
    <col min="5354" max="5354" width="33.42578125" style="1009" customWidth="1"/>
    <col min="5355" max="5359" width="14.140625" style="1009" customWidth="1"/>
    <col min="5360" max="5608" width="8.85546875" style="1009"/>
    <col min="5609" max="5609" width="8" style="1009" customWidth="1"/>
    <col min="5610" max="5610" width="33.42578125" style="1009" customWidth="1"/>
    <col min="5611" max="5615" width="14.140625" style="1009" customWidth="1"/>
    <col min="5616" max="5864" width="8.85546875" style="1009"/>
    <col min="5865" max="5865" width="8" style="1009" customWidth="1"/>
    <col min="5866" max="5866" width="33.42578125" style="1009" customWidth="1"/>
    <col min="5867" max="5871" width="14.140625" style="1009" customWidth="1"/>
    <col min="5872" max="6120" width="8.85546875" style="1009"/>
    <col min="6121" max="6121" width="8" style="1009" customWidth="1"/>
    <col min="6122" max="6122" width="33.42578125" style="1009" customWidth="1"/>
    <col min="6123" max="6127" width="14.140625" style="1009" customWidth="1"/>
    <col min="6128" max="6376" width="8.85546875" style="1009"/>
    <col min="6377" max="6377" width="8" style="1009" customWidth="1"/>
    <col min="6378" max="6378" width="33.42578125" style="1009" customWidth="1"/>
    <col min="6379" max="6383" width="14.140625" style="1009" customWidth="1"/>
    <col min="6384" max="6632" width="8.85546875" style="1009"/>
    <col min="6633" max="6633" width="8" style="1009" customWidth="1"/>
    <col min="6634" max="6634" width="33.42578125" style="1009" customWidth="1"/>
    <col min="6635" max="6639" width="14.140625" style="1009" customWidth="1"/>
    <col min="6640" max="6888" width="8.85546875" style="1009"/>
    <col min="6889" max="6889" width="8" style="1009" customWidth="1"/>
    <col min="6890" max="6890" width="33.42578125" style="1009" customWidth="1"/>
    <col min="6891" max="6895" width="14.140625" style="1009" customWidth="1"/>
    <col min="6896" max="7144" width="8.85546875" style="1009"/>
    <col min="7145" max="7145" width="8" style="1009" customWidth="1"/>
    <col min="7146" max="7146" width="33.42578125" style="1009" customWidth="1"/>
    <col min="7147" max="7151" width="14.140625" style="1009" customWidth="1"/>
    <col min="7152" max="7400" width="8.85546875" style="1009"/>
    <col min="7401" max="7401" width="8" style="1009" customWidth="1"/>
    <col min="7402" max="7402" width="33.42578125" style="1009" customWidth="1"/>
    <col min="7403" max="7407" width="14.140625" style="1009" customWidth="1"/>
    <col min="7408" max="7656" width="8.85546875" style="1009"/>
    <col min="7657" max="7657" width="8" style="1009" customWidth="1"/>
    <col min="7658" max="7658" width="33.42578125" style="1009" customWidth="1"/>
    <col min="7659" max="7663" width="14.140625" style="1009" customWidth="1"/>
    <col min="7664" max="7912" width="8.85546875" style="1009"/>
    <col min="7913" max="7913" width="8" style="1009" customWidth="1"/>
    <col min="7914" max="7914" width="33.42578125" style="1009" customWidth="1"/>
    <col min="7915" max="7919" width="14.140625" style="1009" customWidth="1"/>
    <col min="7920" max="8168" width="8.85546875" style="1009"/>
    <col min="8169" max="8169" width="8" style="1009" customWidth="1"/>
    <col min="8170" max="8170" width="33.42578125" style="1009" customWidth="1"/>
    <col min="8171" max="8175" width="14.140625" style="1009" customWidth="1"/>
    <col min="8176" max="8424" width="8.85546875" style="1009"/>
    <col min="8425" max="8425" width="8" style="1009" customWidth="1"/>
    <col min="8426" max="8426" width="33.42578125" style="1009" customWidth="1"/>
    <col min="8427" max="8431" width="14.140625" style="1009" customWidth="1"/>
    <col min="8432" max="8680" width="8.85546875" style="1009"/>
    <col min="8681" max="8681" width="8" style="1009" customWidth="1"/>
    <col min="8682" max="8682" width="33.42578125" style="1009" customWidth="1"/>
    <col min="8683" max="8687" width="14.140625" style="1009" customWidth="1"/>
    <col min="8688" max="8936" width="8.85546875" style="1009"/>
    <col min="8937" max="8937" width="8" style="1009" customWidth="1"/>
    <col min="8938" max="8938" width="33.42578125" style="1009" customWidth="1"/>
    <col min="8939" max="8943" width="14.140625" style="1009" customWidth="1"/>
    <col min="8944" max="9192" width="8.85546875" style="1009"/>
    <col min="9193" max="9193" width="8" style="1009" customWidth="1"/>
    <col min="9194" max="9194" width="33.42578125" style="1009" customWidth="1"/>
    <col min="9195" max="9199" width="14.140625" style="1009" customWidth="1"/>
    <col min="9200" max="9448" width="8.85546875" style="1009"/>
    <col min="9449" max="9449" width="8" style="1009" customWidth="1"/>
    <col min="9450" max="9450" width="33.42578125" style="1009" customWidth="1"/>
    <col min="9451" max="9455" width="14.140625" style="1009" customWidth="1"/>
    <col min="9456" max="9704" width="8.85546875" style="1009"/>
    <col min="9705" max="9705" width="8" style="1009" customWidth="1"/>
    <col min="9706" max="9706" width="33.42578125" style="1009" customWidth="1"/>
    <col min="9707" max="9711" width="14.140625" style="1009" customWidth="1"/>
    <col min="9712" max="9960" width="8.85546875" style="1009"/>
    <col min="9961" max="9961" width="8" style="1009" customWidth="1"/>
    <col min="9962" max="9962" width="33.42578125" style="1009" customWidth="1"/>
    <col min="9963" max="9967" width="14.140625" style="1009" customWidth="1"/>
    <col min="9968" max="10216" width="8.85546875" style="1009"/>
    <col min="10217" max="10217" width="8" style="1009" customWidth="1"/>
    <col min="10218" max="10218" width="33.42578125" style="1009" customWidth="1"/>
    <col min="10219" max="10223" width="14.140625" style="1009" customWidth="1"/>
    <col min="10224" max="10472" width="8.85546875" style="1009"/>
    <col min="10473" max="10473" width="8" style="1009" customWidth="1"/>
    <col min="10474" max="10474" width="33.42578125" style="1009" customWidth="1"/>
    <col min="10475" max="10479" width="14.140625" style="1009" customWidth="1"/>
    <col min="10480" max="10728" width="8.85546875" style="1009"/>
    <col min="10729" max="10729" width="8" style="1009" customWidth="1"/>
    <col min="10730" max="10730" width="33.42578125" style="1009" customWidth="1"/>
    <col min="10731" max="10735" width="14.140625" style="1009" customWidth="1"/>
    <col min="10736" max="10984" width="8.85546875" style="1009"/>
    <col min="10985" max="10985" width="8" style="1009" customWidth="1"/>
    <col min="10986" max="10986" width="33.42578125" style="1009" customWidth="1"/>
    <col min="10987" max="10991" width="14.140625" style="1009" customWidth="1"/>
    <col min="10992" max="11240" width="8.85546875" style="1009"/>
    <col min="11241" max="11241" width="8" style="1009" customWidth="1"/>
    <col min="11242" max="11242" width="33.42578125" style="1009" customWidth="1"/>
    <col min="11243" max="11247" width="14.140625" style="1009" customWidth="1"/>
    <col min="11248" max="11496" width="8.85546875" style="1009"/>
    <col min="11497" max="11497" width="8" style="1009" customWidth="1"/>
    <col min="11498" max="11498" width="33.42578125" style="1009" customWidth="1"/>
    <col min="11499" max="11503" width="14.140625" style="1009" customWidth="1"/>
    <col min="11504" max="11752" width="8.85546875" style="1009"/>
    <col min="11753" max="11753" width="8" style="1009" customWidth="1"/>
    <col min="11754" max="11754" width="33.42578125" style="1009" customWidth="1"/>
    <col min="11755" max="11759" width="14.140625" style="1009" customWidth="1"/>
    <col min="11760" max="12008" width="8.85546875" style="1009"/>
    <col min="12009" max="12009" width="8" style="1009" customWidth="1"/>
    <col min="12010" max="12010" width="33.42578125" style="1009" customWidth="1"/>
    <col min="12011" max="12015" width="14.140625" style="1009" customWidth="1"/>
    <col min="12016" max="12264" width="8.85546875" style="1009"/>
    <col min="12265" max="12265" width="8" style="1009" customWidth="1"/>
    <col min="12266" max="12266" width="33.42578125" style="1009" customWidth="1"/>
    <col min="12267" max="12271" width="14.140625" style="1009" customWidth="1"/>
    <col min="12272" max="12520" width="8.85546875" style="1009"/>
    <col min="12521" max="12521" width="8" style="1009" customWidth="1"/>
    <col min="12522" max="12522" width="33.42578125" style="1009" customWidth="1"/>
    <col min="12523" max="12527" width="14.140625" style="1009" customWidth="1"/>
    <col min="12528" max="12776" width="8.85546875" style="1009"/>
    <col min="12777" max="12777" width="8" style="1009" customWidth="1"/>
    <col min="12778" max="12778" width="33.42578125" style="1009" customWidth="1"/>
    <col min="12779" max="12783" width="14.140625" style="1009" customWidth="1"/>
    <col min="12784" max="13032" width="8.85546875" style="1009"/>
    <col min="13033" max="13033" width="8" style="1009" customWidth="1"/>
    <col min="13034" max="13034" width="33.42578125" style="1009" customWidth="1"/>
    <col min="13035" max="13039" width="14.140625" style="1009" customWidth="1"/>
    <col min="13040" max="13288" width="8.85546875" style="1009"/>
    <col min="13289" max="13289" width="8" style="1009" customWidth="1"/>
    <col min="13290" max="13290" width="33.42578125" style="1009" customWidth="1"/>
    <col min="13291" max="13295" width="14.140625" style="1009" customWidth="1"/>
    <col min="13296" max="13544" width="8.85546875" style="1009"/>
    <col min="13545" max="13545" width="8" style="1009" customWidth="1"/>
    <col min="13546" max="13546" width="33.42578125" style="1009" customWidth="1"/>
    <col min="13547" max="13551" width="14.140625" style="1009" customWidth="1"/>
    <col min="13552" max="13800" width="8.85546875" style="1009"/>
    <col min="13801" max="13801" width="8" style="1009" customWidth="1"/>
    <col min="13802" max="13802" width="33.42578125" style="1009" customWidth="1"/>
    <col min="13803" max="13807" width="14.140625" style="1009" customWidth="1"/>
    <col min="13808" max="14056" width="8.85546875" style="1009"/>
    <col min="14057" max="14057" width="8" style="1009" customWidth="1"/>
    <col min="14058" max="14058" width="33.42578125" style="1009" customWidth="1"/>
    <col min="14059" max="14063" width="14.140625" style="1009" customWidth="1"/>
    <col min="14064" max="14312" width="8.85546875" style="1009"/>
    <col min="14313" max="14313" width="8" style="1009" customWidth="1"/>
    <col min="14314" max="14314" width="33.42578125" style="1009" customWidth="1"/>
    <col min="14315" max="14319" width="14.140625" style="1009" customWidth="1"/>
    <col min="14320" max="14568" width="8.85546875" style="1009"/>
    <col min="14569" max="14569" width="8" style="1009" customWidth="1"/>
    <col min="14570" max="14570" width="33.42578125" style="1009" customWidth="1"/>
    <col min="14571" max="14575" width="14.140625" style="1009" customWidth="1"/>
    <col min="14576" max="14824" width="8.85546875" style="1009"/>
    <col min="14825" max="14825" width="8" style="1009" customWidth="1"/>
    <col min="14826" max="14826" width="33.42578125" style="1009" customWidth="1"/>
    <col min="14827" max="14831" width="14.140625" style="1009" customWidth="1"/>
    <col min="14832" max="15080" width="8.85546875" style="1009"/>
    <col min="15081" max="15081" width="8" style="1009" customWidth="1"/>
    <col min="15082" max="15082" width="33.42578125" style="1009" customWidth="1"/>
    <col min="15083" max="15087" width="14.140625" style="1009" customWidth="1"/>
    <col min="15088" max="15336" width="8.85546875" style="1009"/>
    <col min="15337" max="15337" width="8" style="1009" customWidth="1"/>
    <col min="15338" max="15338" width="33.42578125" style="1009" customWidth="1"/>
    <col min="15339" max="15343" width="14.140625" style="1009" customWidth="1"/>
    <col min="15344" max="15592" width="8.85546875" style="1009"/>
    <col min="15593" max="15593" width="8" style="1009" customWidth="1"/>
    <col min="15594" max="15594" width="33.42578125" style="1009" customWidth="1"/>
    <col min="15595" max="15599" width="14.140625" style="1009" customWidth="1"/>
    <col min="15600" max="15848" width="8.85546875" style="1009"/>
    <col min="15849" max="15849" width="8" style="1009" customWidth="1"/>
    <col min="15850" max="15850" width="33.42578125" style="1009" customWidth="1"/>
    <col min="15851" max="15855" width="14.140625" style="1009" customWidth="1"/>
    <col min="15856" max="16104" width="8.85546875" style="1009"/>
    <col min="16105" max="16105" width="8" style="1009" customWidth="1"/>
    <col min="16106" max="16106" width="33.42578125" style="1009" customWidth="1"/>
    <col min="16107" max="16111" width="14.140625" style="1009" customWidth="1"/>
    <col min="16112" max="16384" width="8.85546875" style="1009"/>
  </cols>
  <sheetData>
    <row r="1" spans="1:24" ht="19.5" customHeight="1" thickTop="1">
      <c r="A1" s="2365" t="s">
        <v>2799</v>
      </c>
      <c r="B1" s="2366"/>
      <c r="C1" s="2366"/>
      <c r="D1" s="2366"/>
      <c r="E1" s="2366"/>
      <c r="F1" s="2366"/>
      <c r="G1" s="2366"/>
      <c r="H1" s="2366"/>
      <c r="I1" s="2366"/>
      <c r="J1" s="2366"/>
      <c r="K1" s="2367"/>
    </row>
    <row r="2" spans="1:24" ht="19.5" customHeight="1">
      <c r="A2" s="2368" t="s">
        <v>2800</v>
      </c>
      <c r="B2" s="2369"/>
      <c r="C2" s="2369"/>
      <c r="D2" s="2369"/>
      <c r="E2" s="2369"/>
      <c r="F2" s="2369"/>
      <c r="G2" s="2369"/>
      <c r="H2" s="2369"/>
      <c r="I2" s="2369"/>
      <c r="J2" s="2369"/>
      <c r="K2" s="2370"/>
    </row>
    <row r="3" spans="1:24" ht="19.5" customHeight="1">
      <c r="A3" s="2390" t="s">
        <v>2066</v>
      </c>
      <c r="B3" s="2391"/>
      <c r="C3" s="2391"/>
      <c r="D3" s="2391"/>
      <c r="E3" s="2391"/>
      <c r="F3" s="2391"/>
      <c r="G3" s="2391"/>
      <c r="H3" s="2391"/>
      <c r="I3" s="2391"/>
      <c r="J3" s="2391"/>
      <c r="K3" s="2392"/>
    </row>
    <row r="4" spans="1:24" s="1038" customFormat="1" ht="30">
      <c r="A4" s="1165" t="s">
        <v>688</v>
      </c>
      <c r="B4" s="1042" t="s">
        <v>141</v>
      </c>
      <c r="C4" s="1041" t="s">
        <v>41</v>
      </c>
      <c r="D4" s="1040" t="s">
        <v>2065</v>
      </c>
      <c r="E4" s="1040" t="s">
        <v>129</v>
      </c>
      <c r="F4" s="1040" t="s">
        <v>142</v>
      </c>
      <c r="G4" s="1040" t="s">
        <v>2064</v>
      </c>
      <c r="H4" s="1040" t="s">
        <v>522</v>
      </c>
      <c r="I4" s="1040" t="s">
        <v>652</v>
      </c>
      <c r="J4" s="1040" t="s">
        <v>803</v>
      </c>
      <c r="K4" s="1418" t="s">
        <v>2049</v>
      </c>
      <c r="X4" s="1039" t="s">
        <v>520</v>
      </c>
    </row>
    <row r="5" spans="1:24" ht="20.25" customHeight="1">
      <c r="A5" s="198">
        <v>1</v>
      </c>
      <c r="B5" s="627" t="s">
        <v>1647</v>
      </c>
      <c r="C5" s="1019">
        <v>53.02</v>
      </c>
      <c r="D5" s="1018">
        <v>24.9</v>
      </c>
      <c r="E5" s="1018">
        <v>8.5</v>
      </c>
      <c r="F5" s="1018">
        <v>5.25</v>
      </c>
      <c r="G5" s="1018">
        <v>10</v>
      </c>
      <c r="H5" s="1018">
        <v>8.7899999999999991</v>
      </c>
      <c r="I5" s="1023">
        <v>8.7899999999999991</v>
      </c>
      <c r="J5" s="1022">
        <v>45.22</v>
      </c>
      <c r="K5" s="1419" t="s">
        <v>14</v>
      </c>
    </row>
    <row r="6" spans="1:24" ht="20.25" customHeight="1">
      <c r="A6" s="1420">
        <v>2</v>
      </c>
      <c r="B6" s="627" t="s">
        <v>1644</v>
      </c>
      <c r="C6" s="1019">
        <v>252</v>
      </c>
      <c r="D6" s="1018">
        <v>286</v>
      </c>
      <c r="E6" s="1018">
        <v>314</v>
      </c>
      <c r="F6" s="1018">
        <v>320</v>
      </c>
      <c r="G6" s="1018">
        <v>350</v>
      </c>
      <c r="H6" s="1018">
        <v>360</v>
      </c>
      <c r="I6" s="1023">
        <v>360</v>
      </c>
      <c r="J6" s="1022">
        <v>360</v>
      </c>
      <c r="K6" s="1419" t="s">
        <v>22</v>
      </c>
    </row>
    <row r="7" spans="1:24" ht="20.25" customHeight="1">
      <c r="A7" s="198">
        <v>3</v>
      </c>
      <c r="B7" s="627" t="s">
        <v>460</v>
      </c>
      <c r="C7" s="1019">
        <v>284</v>
      </c>
      <c r="D7" s="1018">
        <v>370</v>
      </c>
      <c r="E7" s="1018">
        <v>380</v>
      </c>
      <c r="F7" s="1018">
        <v>405</v>
      </c>
      <c r="G7" s="1018">
        <v>505</v>
      </c>
      <c r="H7" s="1018">
        <v>605</v>
      </c>
      <c r="I7" s="1023">
        <v>605</v>
      </c>
      <c r="J7" s="1022">
        <v>705</v>
      </c>
      <c r="K7" s="1419" t="s">
        <v>23</v>
      </c>
    </row>
    <row r="8" spans="1:24" ht="20.25" customHeight="1">
      <c r="A8" s="1420">
        <v>4</v>
      </c>
      <c r="B8" s="627" t="s">
        <v>1643</v>
      </c>
      <c r="C8" s="1019">
        <v>11.5</v>
      </c>
      <c r="D8" s="1018">
        <v>13.5</v>
      </c>
      <c r="E8" s="1018">
        <v>2.5</v>
      </c>
      <c r="F8" s="1018">
        <v>4.5</v>
      </c>
      <c r="G8" s="1018">
        <v>6</v>
      </c>
      <c r="H8" s="1018">
        <v>6</v>
      </c>
      <c r="I8" s="1037">
        <v>1.78</v>
      </c>
      <c r="J8" s="1022">
        <v>5.3</v>
      </c>
      <c r="K8" s="1419" t="s">
        <v>16</v>
      </c>
    </row>
    <row r="9" spans="1:24" ht="20.25" customHeight="1">
      <c r="A9" s="198">
        <v>5</v>
      </c>
      <c r="B9" s="627" t="s">
        <v>1642</v>
      </c>
      <c r="C9" s="1019">
        <v>278.76</v>
      </c>
      <c r="D9" s="1018">
        <v>273.45499999999998</v>
      </c>
      <c r="E9" s="1018">
        <v>305</v>
      </c>
      <c r="F9" s="1018">
        <v>353.5</v>
      </c>
      <c r="G9" s="1018">
        <v>306</v>
      </c>
      <c r="H9" s="1018">
        <v>307</v>
      </c>
      <c r="I9" s="1023">
        <v>320</v>
      </c>
      <c r="J9" s="1022">
        <v>392</v>
      </c>
      <c r="K9" s="1419" t="s">
        <v>17</v>
      </c>
    </row>
    <row r="10" spans="1:24" ht="20.25" customHeight="1">
      <c r="A10" s="1420">
        <v>6</v>
      </c>
      <c r="B10" s="627" t="s">
        <v>1641</v>
      </c>
      <c r="C10" s="1036">
        <v>330</v>
      </c>
      <c r="D10" s="1018">
        <v>340</v>
      </c>
      <c r="E10" s="1018">
        <v>380</v>
      </c>
      <c r="F10" s="1018">
        <v>390</v>
      </c>
      <c r="G10" s="1018">
        <v>410</v>
      </c>
      <c r="H10" s="1018">
        <v>400</v>
      </c>
      <c r="I10" s="1023">
        <v>430</v>
      </c>
      <c r="J10" s="1022">
        <v>440</v>
      </c>
      <c r="K10" s="1419" t="s">
        <v>25</v>
      </c>
    </row>
    <row r="11" spans="1:24" ht="20.25" customHeight="1">
      <c r="A11" s="198">
        <v>7</v>
      </c>
      <c r="B11" s="627" t="s">
        <v>1640</v>
      </c>
      <c r="C11" s="1019">
        <v>15</v>
      </c>
      <c r="D11" s="1018">
        <v>16</v>
      </c>
      <c r="E11" s="1018">
        <v>1.6</v>
      </c>
      <c r="F11" s="1018">
        <v>1.45</v>
      </c>
      <c r="G11" s="1018">
        <v>1.5</v>
      </c>
      <c r="H11" s="979">
        <v>4.2</v>
      </c>
      <c r="I11" s="1023">
        <v>18.038</v>
      </c>
      <c r="J11" s="1022">
        <v>5.0188000000000006</v>
      </c>
      <c r="K11" s="1419" t="s">
        <v>5</v>
      </c>
    </row>
    <row r="12" spans="1:24" ht="20.25" customHeight="1">
      <c r="A12" s="1420">
        <v>8</v>
      </c>
      <c r="B12" s="627" t="s">
        <v>450</v>
      </c>
      <c r="C12" s="1019">
        <v>2.6</v>
      </c>
      <c r="D12" s="1018">
        <v>7.4350000000000005</v>
      </c>
      <c r="E12" s="1018">
        <v>11.48</v>
      </c>
      <c r="F12" s="1018">
        <v>37.880000000000003</v>
      </c>
      <c r="G12" s="1018">
        <v>41.43</v>
      </c>
      <c r="H12" s="1018">
        <v>91</v>
      </c>
      <c r="I12" s="1023">
        <v>91</v>
      </c>
      <c r="J12" s="1022">
        <v>97</v>
      </c>
      <c r="K12" s="1419" t="s">
        <v>27</v>
      </c>
    </row>
    <row r="13" spans="1:24" ht="20.25" customHeight="1">
      <c r="A13" s="198">
        <v>9</v>
      </c>
      <c r="B13" s="627" t="s">
        <v>1638</v>
      </c>
      <c r="C13" s="1019">
        <v>530</v>
      </c>
      <c r="D13" s="1018">
        <v>505</v>
      </c>
      <c r="E13" s="1018">
        <v>473</v>
      </c>
      <c r="F13" s="1018">
        <v>544</v>
      </c>
      <c r="G13" s="1018">
        <v>544</v>
      </c>
      <c r="H13" s="1018">
        <v>564</v>
      </c>
      <c r="I13" s="1023">
        <v>561</v>
      </c>
      <c r="J13" s="1022">
        <v>561</v>
      </c>
      <c r="K13" s="1419" t="s">
        <v>28</v>
      </c>
    </row>
    <row r="14" spans="1:24" ht="20.25" customHeight="1">
      <c r="A14" s="1420">
        <v>10</v>
      </c>
      <c r="B14" s="627" t="s">
        <v>1637</v>
      </c>
      <c r="C14" s="1019">
        <v>630.70000000000005</v>
      </c>
      <c r="D14" s="1018">
        <v>606.26300000000003</v>
      </c>
      <c r="E14" s="1018">
        <v>662.48</v>
      </c>
      <c r="F14" s="1018">
        <v>717.28</v>
      </c>
      <c r="G14" s="1018">
        <v>861.74</v>
      </c>
      <c r="H14" s="1018">
        <v>778.63599999999997</v>
      </c>
      <c r="I14" s="1023">
        <v>757.69100000000003</v>
      </c>
      <c r="J14" s="1022">
        <v>607.79509999999993</v>
      </c>
      <c r="K14" s="1419" t="s">
        <v>6</v>
      </c>
    </row>
    <row r="15" spans="1:24" ht="20.25" customHeight="1">
      <c r="A15" s="198">
        <v>11</v>
      </c>
      <c r="B15" s="627" t="s">
        <v>1636</v>
      </c>
      <c r="C15" s="1019">
        <v>309.14</v>
      </c>
      <c r="D15" s="1018">
        <v>395</v>
      </c>
      <c r="E15" s="1018">
        <v>1063</v>
      </c>
      <c r="F15" s="1018">
        <v>326</v>
      </c>
      <c r="G15" s="1018">
        <v>322</v>
      </c>
      <c r="H15" s="1018">
        <v>322</v>
      </c>
      <c r="I15" s="1023">
        <v>346</v>
      </c>
      <c r="J15" s="1022">
        <v>349</v>
      </c>
      <c r="K15" s="1419" t="s">
        <v>18</v>
      </c>
    </row>
    <row r="16" spans="1:24" ht="20.25" customHeight="1">
      <c r="A16" s="1420">
        <v>12</v>
      </c>
      <c r="B16" s="627" t="s">
        <v>456</v>
      </c>
      <c r="C16" s="1019">
        <v>486.14</v>
      </c>
      <c r="D16" s="1018">
        <v>1173</v>
      </c>
      <c r="E16" s="1018">
        <v>1454</v>
      </c>
      <c r="F16" s="1018">
        <v>1271.46</v>
      </c>
      <c r="G16" s="1018">
        <v>1164.17</v>
      </c>
      <c r="H16" s="1018">
        <v>1082.1399999999999</v>
      </c>
      <c r="I16" s="1023">
        <v>934.41000000000008</v>
      </c>
      <c r="J16" s="1022">
        <v>934.44</v>
      </c>
      <c r="K16" s="1419" t="s">
        <v>29</v>
      </c>
    </row>
    <row r="17" spans="1:11" ht="20.25" customHeight="1">
      <c r="A17" s="198">
        <v>13</v>
      </c>
      <c r="B17" s="627" t="s">
        <v>451</v>
      </c>
      <c r="C17" s="1019">
        <v>267</v>
      </c>
      <c r="D17" s="1018">
        <v>271</v>
      </c>
      <c r="E17" s="1018">
        <v>310</v>
      </c>
      <c r="F17" s="1018">
        <v>310</v>
      </c>
      <c r="G17" s="1018">
        <v>310</v>
      </c>
      <c r="H17" s="1018">
        <v>333</v>
      </c>
      <c r="I17" s="1023">
        <v>165</v>
      </c>
      <c r="J17" s="1022">
        <v>121.96850000000001</v>
      </c>
      <c r="K17" s="1419" t="s">
        <v>1391</v>
      </c>
    </row>
    <row r="18" spans="1:11" ht="20.25" customHeight="1">
      <c r="A18" s="1420">
        <v>14</v>
      </c>
      <c r="B18" s="627" t="s">
        <v>1631</v>
      </c>
      <c r="C18" s="1019">
        <v>136.25</v>
      </c>
      <c r="D18" s="1018">
        <v>137.97</v>
      </c>
      <c r="E18" s="1018">
        <v>133.78399999999999</v>
      </c>
      <c r="F18" s="1018">
        <v>259</v>
      </c>
      <c r="G18" s="1018">
        <v>246</v>
      </c>
      <c r="H18" s="1018">
        <v>219</v>
      </c>
      <c r="I18" s="1023">
        <v>210</v>
      </c>
      <c r="J18" s="1017" t="s">
        <v>2042</v>
      </c>
      <c r="K18" s="1419" t="s">
        <v>32</v>
      </c>
    </row>
    <row r="19" spans="1:11" ht="20.25" customHeight="1">
      <c r="A19" s="198">
        <v>15</v>
      </c>
      <c r="B19" s="627" t="s">
        <v>1630</v>
      </c>
      <c r="C19" s="1019">
        <v>156.88999999999999</v>
      </c>
      <c r="D19" s="1018">
        <v>9</v>
      </c>
      <c r="E19" s="1018">
        <v>9</v>
      </c>
      <c r="F19" s="1018">
        <v>10</v>
      </c>
      <c r="G19" s="1018">
        <v>15</v>
      </c>
      <c r="H19" s="1018">
        <v>929</v>
      </c>
      <c r="I19" s="1023">
        <v>1021</v>
      </c>
      <c r="J19" s="1022">
        <v>1268</v>
      </c>
      <c r="K19" s="1419" t="s">
        <v>33</v>
      </c>
    </row>
    <row r="20" spans="1:11" ht="20.25" customHeight="1">
      <c r="A20" s="1420">
        <v>16</v>
      </c>
      <c r="B20" s="627" t="s">
        <v>1628</v>
      </c>
      <c r="C20" s="1019">
        <v>286</v>
      </c>
      <c r="D20" s="1018">
        <v>286</v>
      </c>
      <c r="E20" s="1018">
        <v>294</v>
      </c>
      <c r="F20" s="1018">
        <v>630</v>
      </c>
      <c r="G20" s="1018">
        <v>500</v>
      </c>
      <c r="H20" s="1018">
        <v>820</v>
      </c>
      <c r="I20" s="1023">
        <v>861</v>
      </c>
      <c r="J20" s="1022">
        <v>891</v>
      </c>
      <c r="K20" s="1419" t="s">
        <v>12</v>
      </c>
    </row>
    <row r="21" spans="1:11" ht="20.25" customHeight="1">
      <c r="A21" s="198">
        <v>17</v>
      </c>
      <c r="B21" s="627" t="s">
        <v>1626</v>
      </c>
      <c r="C21" s="1019">
        <v>81.69</v>
      </c>
      <c r="D21" s="1018">
        <v>94</v>
      </c>
      <c r="E21" s="1018">
        <v>85</v>
      </c>
      <c r="F21" s="1018">
        <v>77</v>
      </c>
      <c r="G21" s="1018">
        <v>84</v>
      </c>
      <c r="H21" s="1018">
        <v>329.8</v>
      </c>
      <c r="I21" s="1023">
        <v>496</v>
      </c>
      <c r="J21" s="1022">
        <v>522</v>
      </c>
      <c r="K21" s="1400" t="s">
        <v>39</v>
      </c>
    </row>
    <row r="22" spans="1:11" ht="20.25" customHeight="1">
      <c r="A22" s="1420">
        <v>18</v>
      </c>
      <c r="B22" s="627" t="s">
        <v>1625</v>
      </c>
      <c r="C22" s="1019">
        <v>42.739999999999995</v>
      </c>
      <c r="D22" s="1018">
        <v>45.81</v>
      </c>
      <c r="E22" s="1018">
        <v>46.129999999999995</v>
      </c>
      <c r="F22" s="1018">
        <v>46.22</v>
      </c>
      <c r="G22" s="1018">
        <v>46.85</v>
      </c>
      <c r="H22" s="1018">
        <v>47.73</v>
      </c>
      <c r="I22" s="1023">
        <v>47.94</v>
      </c>
      <c r="J22" s="1022">
        <v>50.879999999999995</v>
      </c>
      <c r="K22" s="1419" t="s">
        <v>35</v>
      </c>
    </row>
    <row r="23" spans="1:11" ht="20.25" customHeight="1">
      <c r="A23" s="198">
        <v>19</v>
      </c>
      <c r="B23" s="627" t="s">
        <v>1624</v>
      </c>
      <c r="C23" s="1019">
        <v>21.530999999999999</v>
      </c>
      <c r="D23" s="1018">
        <v>29.654</v>
      </c>
      <c r="E23" s="1018">
        <v>30.581</v>
      </c>
      <c r="F23" s="1018">
        <v>50.135999999999996</v>
      </c>
      <c r="G23" s="1018">
        <v>51.676000000000002</v>
      </c>
      <c r="H23" s="1018">
        <v>154.578</v>
      </c>
      <c r="I23" s="1023">
        <v>111.229</v>
      </c>
      <c r="J23" s="1022">
        <v>231.03200000000001</v>
      </c>
      <c r="K23" s="1419" t="s">
        <v>36</v>
      </c>
    </row>
    <row r="24" spans="1:11" ht="20.25" customHeight="1">
      <c r="A24" s="1420">
        <v>20</v>
      </c>
      <c r="B24" s="627" t="s">
        <v>452</v>
      </c>
      <c r="C24" s="1036">
        <v>680</v>
      </c>
      <c r="D24" s="1018">
        <v>950</v>
      </c>
      <c r="E24" s="1018">
        <v>838</v>
      </c>
      <c r="F24" s="1018">
        <v>951</v>
      </c>
      <c r="G24" s="1018">
        <v>997</v>
      </c>
      <c r="H24" s="1018">
        <v>1017</v>
      </c>
      <c r="I24" s="1023">
        <v>1017</v>
      </c>
      <c r="J24" s="1022">
        <v>1017</v>
      </c>
      <c r="K24" s="1419" t="s">
        <v>37</v>
      </c>
    </row>
    <row r="25" spans="1:11" ht="20.25" customHeight="1">
      <c r="A25" s="2393" t="s">
        <v>2041</v>
      </c>
      <c r="B25" s="2394"/>
      <c r="C25" s="969">
        <f>SUM( C5:C24)</f>
        <v>4854.9609999999993</v>
      </c>
      <c r="D25" s="968">
        <f>SUM( D5:D24)</f>
        <v>5833.987000000001</v>
      </c>
      <c r="E25" s="968">
        <v>6802.0549999999994</v>
      </c>
      <c r="F25" s="968">
        <v>6709.6760000000004</v>
      </c>
      <c r="G25" s="968">
        <v>6772.3660000000009</v>
      </c>
      <c r="H25" s="968">
        <v>8378.8739999999998</v>
      </c>
      <c r="I25" s="968">
        <f>SUM(I5:I24)</f>
        <v>8362.8780000000006</v>
      </c>
      <c r="J25" s="968">
        <f>SUM(J5:J24)</f>
        <v>8603.6543999999994</v>
      </c>
      <c r="K25" s="1421" t="s">
        <v>2040</v>
      </c>
    </row>
    <row r="26" spans="1:11" s="1035" customFormat="1" ht="20.25" customHeight="1">
      <c r="A26" s="1422" t="s">
        <v>2047</v>
      </c>
      <c r="B26" s="1030"/>
      <c r="C26" s="997"/>
      <c r="D26" s="989"/>
      <c r="E26" s="989"/>
      <c r="F26" s="989"/>
      <c r="G26" s="989"/>
      <c r="H26" s="989"/>
      <c r="I26" s="989"/>
      <c r="J26" s="988"/>
      <c r="K26" s="1423"/>
    </row>
    <row r="27" spans="1:11" ht="20.25" customHeight="1">
      <c r="A27" s="1420">
        <v>21</v>
      </c>
      <c r="B27" s="627" t="s">
        <v>1646</v>
      </c>
      <c r="C27" s="981" t="s">
        <v>2042</v>
      </c>
      <c r="D27" s="979" t="s">
        <v>2042</v>
      </c>
      <c r="E27" s="979" t="s">
        <v>2042</v>
      </c>
      <c r="F27" s="979" t="s">
        <v>2042</v>
      </c>
      <c r="G27" s="1018">
        <v>17.25</v>
      </c>
      <c r="H27" s="1018">
        <v>18.05</v>
      </c>
      <c r="I27" s="1033">
        <v>18.05</v>
      </c>
      <c r="J27" s="1034">
        <v>18</v>
      </c>
      <c r="K27" s="1419" t="s">
        <v>15</v>
      </c>
    </row>
    <row r="28" spans="1:11" ht="20.25" customHeight="1">
      <c r="A28" s="1420">
        <v>22</v>
      </c>
      <c r="B28" s="627" t="s">
        <v>1645</v>
      </c>
      <c r="C28" s="1019">
        <v>130</v>
      </c>
      <c r="D28" s="1018">
        <v>150</v>
      </c>
      <c r="E28" s="1018">
        <v>188</v>
      </c>
      <c r="F28" s="1018">
        <v>217.1</v>
      </c>
      <c r="G28" s="1018">
        <v>233.5</v>
      </c>
      <c r="H28" s="1018">
        <v>242.85</v>
      </c>
      <c r="I28" s="1033">
        <v>247.85</v>
      </c>
      <c r="J28" s="1022">
        <v>256.85000000000002</v>
      </c>
      <c r="K28" s="1419" t="s">
        <v>21</v>
      </c>
    </row>
    <row r="29" spans="1:11" ht="20.25" customHeight="1">
      <c r="A29" s="1420">
        <v>23</v>
      </c>
      <c r="B29" s="627" t="s">
        <v>1635</v>
      </c>
      <c r="C29" s="1028">
        <v>0.75</v>
      </c>
      <c r="D29" s="1024">
        <v>0.85</v>
      </c>
      <c r="E29" s="1018">
        <v>1</v>
      </c>
      <c r="F29" s="1018">
        <v>1.05</v>
      </c>
      <c r="G29" s="979" t="s">
        <v>2042</v>
      </c>
      <c r="H29" s="979">
        <v>0.85</v>
      </c>
      <c r="I29" s="1033">
        <v>1.4300000000000002</v>
      </c>
      <c r="J29" s="1017" t="s">
        <v>2042</v>
      </c>
      <c r="K29" s="1419" t="s">
        <v>19</v>
      </c>
    </row>
    <row r="30" spans="1:11" ht="20.25" customHeight="1">
      <c r="A30" s="1420">
        <v>24</v>
      </c>
      <c r="B30" s="627" t="s">
        <v>1634</v>
      </c>
      <c r="C30" s="1019">
        <v>15.97</v>
      </c>
      <c r="D30" s="1018">
        <v>22.875</v>
      </c>
      <c r="E30" s="1018">
        <v>24.497</v>
      </c>
      <c r="F30" s="1018">
        <v>75.099999999999994</v>
      </c>
      <c r="G30" s="979" t="s">
        <v>2042</v>
      </c>
      <c r="H30" s="979">
        <v>8.4924835000000005</v>
      </c>
      <c r="I30" s="1033">
        <v>8.8670000000000009</v>
      </c>
      <c r="J30" s="1022">
        <v>8.5503700000000009</v>
      </c>
      <c r="K30" s="1419" t="s">
        <v>8</v>
      </c>
    </row>
    <row r="31" spans="1:11" ht="20.25" customHeight="1">
      <c r="A31" s="1420">
        <v>25</v>
      </c>
      <c r="B31" s="627" t="s">
        <v>1633</v>
      </c>
      <c r="C31" s="981" t="s">
        <v>2042</v>
      </c>
      <c r="D31" s="979" t="s">
        <v>2042</v>
      </c>
      <c r="E31" s="979" t="s">
        <v>2042</v>
      </c>
      <c r="F31" s="979" t="s">
        <v>2042</v>
      </c>
      <c r="G31" s="979" t="s">
        <v>2042</v>
      </c>
      <c r="H31" s="979" t="s">
        <v>2042</v>
      </c>
      <c r="I31" s="1017" t="s">
        <v>2042</v>
      </c>
      <c r="J31" s="1017" t="s">
        <v>2042</v>
      </c>
      <c r="K31" s="1419" t="s">
        <v>30</v>
      </c>
    </row>
    <row r="32" spans="1:11" ht="20.25" customHeight="1">
      <c r="A32" s="1420">
        <v>26</v>
      </c>
      <c r="B32" s="627" t="s">
        <v>1632</v>
      </c>
      <c r="C32" s="1019">
        <v>11.5</v>
      </c>
      <c r="D32" s="1018">
        <v>12</v>
      </c>
      <c r="E32" s="1018">
        <v>12</v>
      </c>
      <c r="F32" s="1018">
        <v>14</v>
      </c>
      <c r="G32" s="1018">
        <v>17.5</v>
      </c>
      <c r="H32" s="1018">
        <v>19</v>
      </c>
      <c r="I32" s="1033">
        <v>4.4000000000000004</v>
      </c>
      <c r="J32" s="1022">
        <v>8.120000000000001</v>
      </c>
      <c r="K32" s="1419" t="s">
        <v>31</v>
      </c>
    </row>
    <row r="33" spans="1:11" ht="20.25" customHeight="1">
      <c r="A33" s="1420">
        <v>27</v>
      </c>
      <c r="B33" s="1032" t="s">
        <v>1139</v>
      </c>
      <c r="C33" s="981" t="s">
        <v>2042</v>
      </c>
      <c r="D33" s="979" t="s">
        <v>2042</v>
      </c>
      <c r="E33" s="979" t="s">
        <v>2042</v>
      </c>
      <c r="F33" s="979" t="s">
        <v>2042</v>
      </c>
      <c r="G33" s="979" t="s">
        <v>2042</v>
      </c>
      <c r="H33" s="979" t="s">
        <v>2042</v>
      </c>
      <c r="I33" s="1017" t="s">
        <v>2042</v>
      </c>
      <c r="J33" s="1017" t="s">
        <v>2042</v>
      </c>
      <c r="K33" s="1419" t="s">
        <v>20</v>
      </c>
    </row>
    <row r="34" spans="1:11" ht="20.25" customHeight="1">
      <c r="A34" s="1420">
        <v>28</v>
      </c>
      <c r="B34" s="1032" t="s">
        <v>1136</v>
      </c>
      <c r="C34" s="1019">
        <v>122.3</v>
      </c>
      <c r="D34" s="1018">
        <v>94.69</v>
      </c>
      <c r="E34" s="1018">
        <v>146.011</v>
      </c>
      <c r="F34" s="1018">
        <v>141.95999999999998</v>
      </c>
      <c r="G34" s="1018">
        <v>137.58000000000001</v>
      </c>
      <c r="H34" s="1018">
        <v>167.279</v>
      </c>
      <c r="I34" s="1017" t="s">
        <v>2042</v>
      </c>
      <c r="J34" s="1017" t="s">
        <v>2042</v>
      </c>
      <c r="K34" s="1419" t="s">
        <v>34</v>
      </c>
    </row>
    <row r="35" spans="1:11" ht="20.25" customHeight="1">
      <c r="A35" s="2393" t="s">
        <v>2041</v>
      </c>
      <c r="B35" s="2394"/>
      <c r="C35" s="969">
        <f>SUM( C27:C34)</f>
        <v>280.52</v>
      </c>
      <c r="D35" s="968">
        <f>SUM( D27:D34)</f>
        <v>280.41499999999996</v>
      </c>
      <c r="E35" s="968">
        <f>SUM(E27:E34)</f>
        <v>371.50800000000004</v>
      </c>
      <c r="F35" s="968">
        <f>SUM(F27:F34)</f>
        <v>449.21</v>
      </c>
      <c r="G35" s="968">
        <f>SUM(G27:G34)</f>
        <v>405.83000000000004</v>
      </c>
      <c r="H35" s="968">
        <f>SUM(H27:H34)</f>
        <v>456.52148349999999</v>
      </c>
      <c r="I35" s="1031">
        <v>280.59699999999998</v>
      </c>
      <c r="J35" s="1031">
        <v>291.52037000000001</v>
      </c>
      <c r="K35" s="1421" t="s">
        <v>2040</v>
      </c>
    </row>
    <row r="36" spans="1:11" s="1010" customFormat="1" ht="20.25" customHeight="1">
      <c r="A36" s="1422" t="s">
        <v>118</v>
      </c>
      <c r="B36" s="1030"/>
      <c r="C36" s="997"/>
      <c r="D36" s="989"/>
      <c r="E36" s="989"/>
      <c r="F36" s="989"/>
      <c r="G36" s="989"/>
      <c r="H36" s="989"/>
      <c r="I36" s="1029"/>
      <c r="J36" s="1028"/>
      <c r="K36" s="1423"/>
    </row>
    <row r="37" spans="1:11" ht="30.6" customHeight="1">
      <c r="A37" s="1420">
        <v>29</v>
      </c>
      <c r="B37" s="1027" t="s">
        <v>1623</v>
      </c>
      <c r="C37" s="1026">
        <v>0.7</v>
      </c>
      <c r="D37" s="979" t="s">
        <v>2042</v>
      </c>
      <c r="E37" s="979" t="s">
        <v>2042</v>
      </c>
      <c r="F37" s="979" t="s">
        <v>2042</v>
      </c>
      <c r="G37" s="979" t="s">
        <v>2042</v>
      </c>
      <c r="H37" s="979" t="s">
        <v>2042</v>
      </c>
      <c r="I37" s="1025" t="s">
        <v>2042</v>
      </c>
      <c r="J37" s="1025" t="s">
        <v>2042</v>
      </c>
      <c r="K37" s="1780" t="s">
        <v>121</v>
      </c>
    </row>
    <row r="38" spans="1:11" ht="32.25" customHeight="1">
      <c r="A38" s="1420">
        <v>30</v>
      </c>
      <c r="B38" s="627" t="s">
        <v>1622</v>
      </c>
      <c r="C38" s="981" t="s">
        <v>2042</v>
      </c>
      <c r="D38" s="979" t="s">
        <v>2042</v>
      </c>
      <c r="E38" s="979" t="s">
        <v>2042</v>
      </c>
      <c r="F38" s="979" t="s">
        <v>2042</v>
      </c>
      <c r="G38" s="979" t="s">
        <v>2042</v>
      </c>
      <c r="H38" s="979" t="s">
        <v>2042</v>
      </c>
      <c r="I38" s="1017" t="s">
        <v>2042</v>
      </c>
      <c r="J38" s="1017" t="s">
        <v>2042</v>
      </c>
      <c r="K38" s="1419" t="s">
        <v>38</v>
      </c>
    </row>
    <row r="39" spans="1:11" ht="20.25" customHeight="1">
      <c r="A39" s="1420" t="s">
        <v>2063</v>
      </c>
      <c r="B39" s="627" t="s">
        <v>1621</v>
      </c>
      <c r="C39" s="981" t="s">
        <v>2042</v>
      </c>
      <c r="D39" s="979" t="s">
        <v>2042</v>
      </c>
      <c r="E39" s="979" t="s">
        <v>2042</v>
      </c>
      <c r="F39" s="979" t="s">
        <v>2042</v>
      </c>
      <c r="G39" s="979" t="s">
        <v>2042</v>
      </c>
      <c r="H39" s="2376" t="s">
        <v>2042</v>
      </c>
      <c r="I39" s="1017" t="s">
        <v>2042</v>
      </c>
      <c r="J39" s="1017" t="s">
        <v>2042</v>
      </c>
      <c r="K39" s="1419" t="s">
        <v>107</v>
      </c>
    </row>
    <row r="40" spans="1:11" ht="20.25" customHeight="1">
      <c r="A40" s="1420" t="s">
        <v>2045</v>
      </c>
      <c r="B40" s="627" t="s">
        <v>1620</v>
      </c>
      <c r="C40" s="981" t="s">
        <v>2042</v>
      </c>
      <c r="D40" s="979" t="s">
        <v>2042</v>
      </c>
      <c r="E40" s="979" t="s">
        <v>2042</v>
      </c>
      <c r="F40" s="979" t="s">
        <v>2042</v>
      </c>
      <c r="G40" s="979" t="s">
        <v>2042</v>
      </c>
      <c r="H40" s="2377"/>
      <c r="I40" s="1009"/>
      <c r="J40" s="1009"/>
      <c r="K40" s="1419" t="s">
        <v>4</v>
      </c>
    </row>
    <row r="41" spans="1:11" ht="20.25" customHeight="1">
      <c r="A41" s="1420">
        <v>33</v>
      </c>
      <c r="B41" s="627" t="s">
        <v>1619</v>
      </c>
      <c r="C41" s="981" t="s">
        <v>2042</v>
      </c>
      <c r="D41" s="979" t="s">
        <v>2042</v>
      </c>
      <c r="E41" s="1024">
        <v>1.3</v>
      </c>
      <c r="F41" s="979" t="s">
        <v>2042</v>
      </c>
      <c r="G41" s="1018">
        <v>12.6</v>
      </c>
      <c r="H41" s="979" t="s">
        <v>2042</v>
      </c>
      <c r="I41" s="1017" t="s">
        <v>2042</v>
      </c>
      <c r="J41" s="1017" t="s">
        <v>2042</v>
      </c>
      <c r="K41" s="1419" t="s">
        <v>24</v>
      </c>
    </row>
    <row r="42" spans="1:11" ht="20.25" customHeight="1">
      <c r="A42" s="1420">
        <v>34</v>
      </c>
      <c r="B42" s="627" t="s">
        <v>1639</v>
      </c>
      <c r="C42" s="1021">
        <v>5.2000000000000005E-2</v>
      </c>
      <c r="D42" s="1020">
        <v>0.5</v>
      </c>
      <c r="E42" s="989">
        <v>1.05</v>
      </c>
      <c r="F42" s="989">
        <v>1.4</v>
      </c>
      <c r="G42" s="1018">
        <v>1.6</v>
      </c>
      <c r="H42" s="1018">
        <v>1.63</v>
      </c>
      <c r="I42" s="1023">
        <v>3.6680000000000001</v>
      </c>
      <c r="J42" s="1022">
        <v>3.75</v>
      </c>
      <c r="K42" s="1419" t="s">
        <v>632</v>
      </c>
    </row>
    <row r="43" spans="1:11" ht="20.25" customHeight="1">
      <c r="A43" s="1420">
        <v>35</v>
      </c>
      <c r="B43" s="627"/>
      <c r="C43" s="1021"/>
      <c r="D43" s="1020"/>
      <c r="E43" s="989" t="s">
        <v>2042</v>
      </c>
      <c r="F43" s="989" t="s">
        <v>2042</v>
      </c>
      <c r="G43" s="1018" t="s">
        <v>2042</v>
      </c>
      <c r="H43" s="979" t="s">
        <v>2042</v>
      </c>
      <c r="I43" s="1017" t="s">
        <v>2042</v>
      </c>
      <c r="J43" s="1017" t="s">
        <v>2042</v>
      </c>
      <c r="K43" s="1419" t="s">
        <v>649</v>
      </c>
    </row>
    <row r="44" spans="1:11" ht="20.25" customHeight="1">
      <c r="A44" s="1420">
        <v>36</v>
      </c>
      <c r="B44" s="627" t="s">
        <v>1618</v>
      </c>
      <c r="C44" s="981" t="s">
        <v>2042</v>
      </c>
      <c r="D44" s="979" t="s">
        <v>2042</v>
      </c>
      <c r="E44" s="979" t="s">
        <v>2042</v>
      </c>
      <c r="F44" s="979" t="s">
        <v>2042</v>
      </c>
      <c r="G44" s="979" t="s">
        <v>2042</v>
      </c>
      <c r="H44" s="979" t="s">
        <v>2042</v>
      </c>
      <c r="I44" s="1017" t="s">
        <v>2042</v>
      </c>
      <c r="J44" s="1017" t="s">
        <v>2042</v>
      </c>
      <c r="K44" s="1419" t="s">
        <v>7</v>
      </c>
    </row>
    <row r="45" spans="1:11" ht="20.25" customHeight="1">
      <c r="A45" s="1420">
        <v>37</v>
      </c>
      <c r="B45" s="627" t="s">
        <v>1617</v>
      </c>
      <c r="C45" s="1019">
        <v>15.646353240000002</v>
      </c>
      <c r="D45" s="1018">
        <v>33.290048750000004</v>
      </c>
      <c r="E45" s="1018">
        <v>13.656316</v>
      </c>
      <c r="F45" s="1018">
        <v>14.14342757</v>
      </c>
      <c r="G45" s="1018">
        <v>11.08</v>
      </c>
      <c r="H45" s="1018">
        <v>9.9</v>
      </c>
      <c r="I45" s="1017" t="s">
        <v>2042</v>
      </c>
      <c r="J45" s="1017" t="s">
        <v>2042</v>
      </c>
      <c r="K45" s="1419" t="s">
        <v>1582</v>
      </c>
    </row>
    <row r="46" spans="1:11" ht="20.25" customHeight="1">
      <c r="A46" s="2388" t="s">
        <v>2041</v>
      </c>
      <c r="B46" s="2389"/>
      <c r="C46" s="968">
        <f>SUM( C37:C45)</f>
        <v>16.398353240000002</v>
      </c>
      <c r="D46" s="968">
        <f>SUM( D37:D45)</f>
        <v>33.790048750000004</v>
      </c>
      <c r="E46" s="968">
        <f t="shared" ref="E46:J46" si="0">SUM(E37:E45)</f>
        <v>16.006316000000002</v>
      </c>
      <c r="F46" s="968">
        <f t="shared" si="0"/>
        <v>15.54342757</v>
      </c>
      <c r="G46" s="968">
        <f t="shared" si="0"/>
        <v>25.28</v>
      </c>
      <c r="H46" s="968">
        <f t="shared" si="0"/>
        <v>11.530000000000001</v>
      </c>
      <c r="I46" s="968">
        <f t="shared" si="0"/>
        <v>3.6680000000000001</v>
      </c>
      <c r="J46" s="968">
        <f t="shared" si="0"/>
        <v>3.75</v>
      </c>
      <c r="K46" s="1424" t="s">
        <v>2040</v>
      </c>
    </row>
    <row r="47" spans="1:11" ht="20.25" customHeight="1">
      <c r="A47" s="2395" t="s">
        <v>132</v>
      </c>
      <c r="B47" s="2396"/>
      <c r="C47" s="965">
        <f xml:space="preserve"> C25+C35+C46</f>
        <v>5151.8793532399995</v>
      </c>
      <c r="D47" s="965">
        <f xml:space="preserve"> D25+D35+D46</f>
        <v>6148.192048750001</v>
      </c>
      <c r="E47" s="965">
        <f t="shared" ref="E47:J47" si="1">E25+E35+E46</f>
        <v>7189.5693159999992</v>
      </c>
      <c r="F47" s="965">
        <f t="shared" si="1"/>
        <v>7174.4294275700004</v>
      </c>
      <c r="G47" s="965">
        <f t="shared" si="1"/>
        <v>7203.4760000000006</v>
      </c>
      <c r="H47" s="965">
        <f t="shared" si="1"/>
        <v>8846.9254835000011</v>
      </c>
      <c r="I47" s="965">
        <f t="shared" si="1"/>
        <v>8647.143</v>
      </c>
      <c r="J47" s="965">
        <f t="shared" si="1"/>
        <v>8898.9247699999996</v>
      </c>
      <c r="K47" s="1425" t="s">
        <v>50</v>
      </c>
    </row>
    <row r="48" spans="1:11" ht="15">
      <c r="A48" s="1426"/>
      <c r="B48" s="1016"/>
      <c r="C48" s="1015"/>
      <c r="D48" s="1015"/>
      <c r="E48" s="1015"/>
      <c r="F48" s="1015"/>
      <c r="G48" s="1015"/>
      <c r="H48" s="1015"/>
      <c r="I48" s="1015"/>
      <c r="J48" s="1015"/>
      <c r="K48" s="1427"/>
    </row>
    <row r="49" spans="1:11" ht="12.75" customHeight="1">
      <c r="A49" s="1407" t="s">
        <v>2039</v>
      </c>
      <c r="B49" s="1428"/>
      <c r="C49" s="1428"/>
      <c r="D49" s="1428"/>
      <c r="E49" s="1428"/>
      <c r="F49" s="1428"/>
      <c r="G49" s="1428"/>
      <c r="H49" s="1428"/>
      <c r="I49" s="1428"/>
      <c r="J49" s="1428"/>
      <c r="K49" s="1429" t="s">
        <v>2062</v>
      </c>
    </row>
    <row r="50" spans="1:11" ht="19.5" customHeight="1">
      <c r="A50" s="2385" t="s">
        <v>2061</v>
      </c>
      <c r="B50" s="2386"/>
      <c r="C50" s="2386"/>
      <c r="D50" s="2386"/>
      <c r="E50" s="2386"/>
      <c r="F50" s="2386"/>
      <c r="G50" s="2386"/>
      <c r="H50" s="2386"/>
      <c r="I50" s="2386"/>
      <c r="J50" s="2386"/>
      <c r="K50" s="2387"/>
    </row>
    <row r="51" spans="1:11" ht="15">
      <c r="A51" s="1407" t="s">
        <v>2060</v>
      </c>
      <c r="B51" s="1408"/>
      <c r="C51" s="1408" t="s">
        <v>2060</v>
      </c>
      <c r="D51" s="1409"/>
      <c r="E51" s="1410"/>
      <c r="F51" s="1411"/>
      <c r="G51" s="1412"/>
      <c r="H51" s="1412"/>
      <c r="I51" s="1412"/>
      <c r="J51" s="1412"/>
      <c r="K51" s="1413"/>
    </row>
    <row r="52" spans="1:11" ht="15">
      <c r="A52" s="138" t="s">
        <v>2059</v>
      </c>
      <c r="K52" s="1429"/>
    </row>
    <row r="53" spans="1:11" ht="15.75" thickBot="1">
      <c r="A53" s="1430" t="s">
        <v>2058</v>
      </c>
      <c r="B53" s="1431"/>
      <c r="C53" s="1432"/>
      <c r="D53" s="1433"/>
      <c r="E53" s="1434"/>
      <c r="F53" s="1435"/>
      <c r="G53" s="1432"/>
      <c r="H53" s="1432"/>
      <c r="I53" s="1432"/>
      <c r="J53" s="1432"/>
      <c r="K53" s="1436"/>
    </row>
    <row r="54" spans="1:11" ht="15" thickTop="1"/>
  </sheetData>
  <mergeCells count="9">
    <mergeCell ref="A50:K50"/>
    <mergeCell ref="A46:B46"/>
    <mergeCell ref="A1:K1"/>
    <mergeCell ref="A2:K2"/>
    <mergeCell ref="A3:K3"/>
    <mergeCell ref="A25:B25"/>
    <mergeCell ref="A35:B35"/>
    <mergeCell ref="A47:B47"/>
    <mergeCell ref="H39:H40"/>
  </mergeCells>
  <conditionalFormatting sqref="L4:XFD46">
    <cfRule type="expression" dxfId="30" priority="3">
      <formula>MOD(ROW(),3)=1</formula>
    </cfRule>
  </conditionalFormatting>
  <conditionalFormatting sqref="A5:K47">
    <cfRule type="expression" dxfId="29" priority="1">
      <formula>MOD(ROW(),3)=1</formula>
    </cfRule>
  </conditionalFormatting>
  <pageMargins left="0.6692913385826772" right="0.15748031496062992" top="0.55118110236220474" bottom="0.74803149606299213" header="0.31496062992125984" footer="0.31496062992125984"/>
  <pageSetup paperSize="9" scale="68" orientation="portrait" r:id="rId1"/>
  <legacyDrawing r:id="rId2"/>
  <legacyDrawingHF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414C3-B6FA-420E-9F07-F3BE153B08DE}">
  <dimension ref="A1:AB60"/>
  <sheetViews>
    <sheetView view="pageBreakPreview" topLeftCell="A35" zoomScaleSheetLayoutView="100" workbookViewId="0">
      <selection activeCell="S17" sqref="S17"/>
    </sheetView>
  </sheetViews>
  <sheetFormatPr defaultColWidth="9.140625" defaultRowHeight="15"/>
  <cols>
    <col min="1" max="1" width="25.7109375" style="1" customWidth="1"/>
    <col min="2" max="2" width="6.5703125" style="1" hidden="1" customWidth="1"/>
    <col min="3" max="3" width="10" style="1" hidden="1" customWidth="1"/>
    <col min="4" max="4" width="12.5703125" style="1" hidden="1" customWidth="1"/>
    <col min="5" max="5" width="10" style="1" hidden="1" customWidth="1"/>
    <col min="6" max="6" width="12.7109375" style="1" hidden="1" customWidth="1"/>
    <col min="7" max="7" width="11" style="1" hidden="1" customWidth="1"/>
    <col min="8" max="8" width="12.42578125" style="1" hidden="1" customWidth="1"/>
    <col min="9" max="9" width="11.28515625" style="1" hidden="1" customWidth="1"/>
    <col min="10" max="10" width="12.5703125" style="1" hidden="1" customWidth="1"/>
    <col min="11" max="11" width="10.85546875" style="1" hidden="1" customWidth="1"/>
    <col min="12" max="12" width="12.85546875" style="1" hidden="1" customWidth="1"/>
    <col min="13" max="13" width="10.85546875" style="1" hidden="1" customWidth="1"/>
    <col min="14" max="14" width="12.85546875" style="1" hidden="1" customWidth="1"/>
    <col min="15" max="20" width="12.85546875" style="1" customWidth="1"/>
    <col min="21" max="21" width="26.5703125" style="1" customWidth="1"/>
    <col min="22" max="22" width="13.140625" style="1" customWidth="1"/>
    <col min="23" max="23" width="10.5703125" style="1" bestFit="1" customWidth="1"/>
    <col min="24" max="24" width="10.5703125" style="1" customWidth="1"/>
    <col min="25" max="25" width="13.7109375" style="1" bestFit="1" customWidth="1"/>
    <col min="26" max="26" width="23.5703125" style="1" customWidth="1"/>
    <col min="27" max="16384" width="9.140625" style="1"/>
  </cols>
  <sheetData>
    <row r="1" spans="1:27" s="7" customFormat="1" ht="29.25" customHeight="1" thickTop="1">
      <c r="A1" s="1868" t="s">
        <v>2801</v>
      </c>
      <c r="B1" s="1869"/>
      <c r="C1" s="1869"/>
      <c r="D1" s="1869"/>
      <c r="E1" s="1869"/>
      <c r="F1" s="1869"/>
      <c r="G1" s="1869"/>
      <c r="H1" s="1869"/>
      <c r="I1" s="1869"/>
      <c r="J1" s="1869"/>
      <c r="K1" s="1869"/>
      <c r="L1" s="1869"/>
      <c r="M1" s="1869"/>
      <c r="N1" s="1869"/>
      <c r="O1" s="1869"/>
      <c r="P1" s="1869"/>
      <c r="Q1" s="1869"/>
      <c r="R1" s="1869"/>
      <c r="S1" s="1869"/>
      <c r="T1" s="1869"/>
      <c r="U1" s="1870"/>
      <c r="V1" s="49"/>
    </row>
    <row r="2" spans="1:27" s="7" customFormat="1" ht="29.25" customHeight="1">
      <c r="A2" s="2224" t="s">
        <v>2802</v>
      </c>
      <c r="B2" s="2193"/>
      <c r="C2" s="2193"/>
      <c r="D2" s="2193"/>
      <c r="E2" s="2193"/>
      <c r="F2" s="2193"/>
      <c r="G2" s="2193"/>
      <c r="H2" s="2193"/>
      <c r="I2" s="2193"/>
      <c r="J2" s="2193"/>
      <c r="K2" s="2193"/>
      <c r="L2" s="2193"/>
      <c r="M2" s="2193"/>
      <c r="N2" s="2193"/>
      <c r="O2" s="2193"/>
      <c r="P2" s="2193"/>
      <c r="Q2" s="2193"/>
      <c r="R2" s="2193"/>
      <c r="S2" s="2193"/>
      <c r="T2" s="2193"/>
      <c r="U2" s="2225"/>
      <c r="V2" s="49"/>
    </row>
    <row r="3" spans="1:27" s="7" customFormat="1" ht="16.5" customHeight="1">
      <c r="A3" s="1140"/>
      <c r="B3" s="49"/>
      <c r="C3" s="49"/>
      <c r="D3" s="49"/>
      <c r="E3" s="49"/>
      <c r="F3" s="49"/>
      <c r="G3" s="49"/>
      <c r="H3" s="49"/>
      <c r="I3" s="49"/>
      <c r="J3" s="49"/>
      <c r="K3" s="49"/>
      <c r="L3" s="49"/>
      <c r="M3" s="49"/>
      <c r="O3" s="49"/>
      <c r="P3" s="49"/>
      <c r="Q3" s="49"/>
      <c r="R3" s="49"/>
      <c r="S3" s="49"/>
      <c r="T3" s="49"/>
      <c r="U3" s="1141"/>
      <c r="V3" s="49"/>
    </row>
    <row r="4" spans="1:27" s="95" customFormat="1" ht="27" customHeight="1">
      <c r="A4" s="1989" t="s">
        <v>2175</v>
      </c>
      <c r="B4" s="1929" t="s">
        <v>2174</v>
      </c>
      <c r="C4" s="1948" t="s">
        <v>41</v>
      </c>
      <c r="D4" s="1948"/>
      <c r="E4" s="1948" t="s">
        <v>42</v>
      </c>
      <c r="F4" s="1948"/>
      <c r="G4" s="1948" t="s">
        <v>129</v>
      </c>
      <c r="H4" s="1948"/>
      <c r="I4" s="1948" t="s">
        <v>142</v>
      </c>
      <c r="J4" s="1948"/>
      <c r="K4" s="1948" t="s">
        <v>276</v>
      </c>
      <c r="L4" s="1948"/>
      <c r="M4" s="1948" t="s">
        <v>522</v>
      </c>
      <c r="N4" s="1948"/>
      <c r="O4" s="1948" t="s">
        <v>652</v>
      </c>
      <c r="P4" s="1948"/>
      <c r="Q4" s="1948" t="s">
        <v>803</v>
      </c>
      <c r="R4" s="1948"/>
      <c r="S4" s="1948" t="s">
        <v>2173</v>
      </c>
      <c r="T4" s="1948"/>
      <c r="U4" s="1921" t="s">
        <v>2172</v>
      </c>
      <c r="V4" s="753"/>
      <c r="AA4" s="753"/>
    </row>
    <row r="5" spans="1:27" s="95" customFormat="1" ht="75">
      <c r="A5" s="1989"/>
      <c r="B5" s="1948"/>
      <c r="C5" s="79" t="s">
        <v>2171</v>
      </c>
      <c r="D5" s="79" t="s">
        <v>2170</v>
      </c>
      <c r="E5" s="79" t="s">
        <v>2171</v>
      </c>
      <c r="F5" s="79" t="s">
        <v>2170</v>
      </c>
      <c r="G5" s="79" t="s">
        <v>2171</v>
      </c>
      <c r="H5" s="79" t="s">
        <v>2170</v>
      </c>
      <c r="I5" s="79" t="s">
        <v>2171</v>
      </c>
      <c r="J5" s="79" t="s">
        <v>2170</v>
      </c>
      <c r="K5" s="79" t="s">
        <v>2171</v>
      </c>
      <c r="L5" s="79" t="s">
        <v>2170</v>
      </c>
      <c r="M5" s="234" t="s">
        <v>2169</v>
      </c>
      <c r="N5" s="234" t="s">
        <v>2168</v>
      </c>
      <c r="O5" s="265" t="s">
        <v>2169</v>
      </c>
      <c r="P5" s="265" t="s">
        <v>2168</v>
      </c>
      <c r="Q5" s="265" t="s">
        <v>2169</v>
      </c>
      <c r="R5" s="265" t="s">
        <v>2168</v>
      </c>
      <c r="S5" s="265" t="s">
        <v>2169</v>
      </c>
      <c r="T5" s="265" t="s">
        <v>2168</v>
      </c>
      <c r="U5" s="2286"/>
      <c r="V5" s="496"/>
      <c r="AA5" s="1055"/>
    </row>
    <row r="6" spans="1:27" ht="16.5" customHeight="1">
      <c r="A6" s="1437" t="s">
        <v>2167</v>
      </c>
      <c r="B6" s="792" t="s">
        <v>2118</v>
      </c>
      <c r="C6" s="792">
        <v>28.39</v>
      </c>
      <c r="D6" s="792">
        <v>388.66</v>
      </c>
      <c r="E6" s="792">
        <v>23.72</v>
      </c>
      <c r="F6" s="792">
        <v>377.47</v>
      </c>
      <c r="G6" s="792">
        <v>24.89</v>
      </c>
      <c r="H6" s="792">
        <v>338.35</v>
      </c>
      <c r="I6" s="792">
        <v>24.94</v>
      </c>
      <c r="J6" s="792">
        <v>356.99</v>
      </c>
      <c r="K6" s="1048">
        <v>28.851378</v>
      </c>
      <c r="L6" s="1048">
        <v>417.96491839999999</v>
      </c>
      <c r="M6" s="1048">
        <v>21.935219</v>
      </c>
      <c r="N6" s="1048">
        <v>411.06208800000002</v>
      </c>
      <c r="O6" s="1050">
        <v>38.585217999999998</v>
      </c>
      <c r="P6" s="1050">
        <v>658.8739435</v>
      </c>
      <c r="Q6" s="1048">
        <v>30.343053000000001</v>
      </c>
      <c r="R6" s="1048">
        <v>475.6816609</v>
      </c>
      <c r="S6" s="792">
        <v>26.824152999999999</v>
      </c>
      <c r="T6" s="1048">
        <v>427.1850958</v>
      </c>
      <c r="U6" s="1438" t="s">
        <v>2166</v>
      </c>
      <c r="X6" s="1047"/>
      <c r="Y6" s="1047"/>
      <c r="AA6" s="1054"/>
    </row>
    <row r="7" spans="1:27" ht="16.5" customHeight="1">
      <c r="A7" s="1437" t="s">
        <v>2165</v>
      </c>
      <c r="B7" s="792" t="s">
        <v>2118</v>
      </c>
      <c r="C7" s="1049">
        <v>74.88</v>
      </c>
      <c r="D7" s="1049">
        <v>930.47</v>
      </c>
      <c r="E7" s="1049">
        <v>65.61</v>
      </c>
      <c r="F7" s="1049">
        <v>801.83</v>
      </c>
      <c r="G7" s="1049">
        <v>78.040000000000006</v>
      </c>
      <c r="H7" s="1049">
        <v>926.81</v>
      </c>
      <c r="I7" s="1049">
        <v>77.22</v>
      </c>
      <c r="J7" s="1049">
        <v>996.5</v>
      </c>
      <c r="K7" s="1049">
        <v>82.772391999999996</v>
      </c>
      <c r="L7" s="1049">
        <v>958.58759980000002</v>
      </c>
      <c r="M7" s="1049">
        <v>88.087665000000001</v>
      </c>
      <c r="N7" s="1049">
        <v>962.15895790000002</v>
      </c>
      <c r="O7" s="1050">
        <v>78.496483999999995</v>
      </c>
      <c r="P7" s="1050">
        <v>900.56498160000001</v>
      </c>
      <c r="Q7" s="1048">
        <v>84.722606999999996</v>
      </c>
      <c r="R7" s="1048">
        <v>1054.2990057</v>
      </c>
      <c r="S7" s="792">
        <v>93.062100000000001</v>
      </c>
      <c r="T7" s="1048">
        <v>1509.2629893000001</v>
      </c>
      <c r="U7" s="1438" t="s">
        <v>2164</v>
      </c>
      <c r="X7" s="1047"/>
      <c r="Y7" s="1047"/>
    </row>
    <row r="8" spans="1:27" ht="16.5" customHeight="1">
      <c r="A8" s="1437" t="s">
        <v>2163</v>
      </c>
      <c r="B8" s="792" t="s">
        <v>2118</v>
      </c>
      <c r="C8" s="1049">
        <v>0</v>
      </c>
      <c r="D8" s="1049">
        <v>0</v>
      </c>
      <c r="E8" s="1049"/>
      <c r="F8" s="1049">
        <v>0</v>
      </c>
      <c r="G8" s="1049"/>
      <c r="H8" s="1049"/>
      <c r="I8" s="1049"/>
      <c r="J8" s="1049"/>
      <c r="K8" s="1049"/>
      <c r="L8" s="1049"/>
      <c r="M8" s="1049"/>
      <c r="N8" s="1049"/>
      <c r="O8" s="1048"/>
      <c r="P8" s="1048"/>
      <c r="Q8" s="1048"/>
      <c r="R8" s="1048"/>
      <c r="S8" s="1048"/>
      <c r="T8" s="1048"/>
      <c r="U8" s="1438" t="s">
        <v>2162</v>
      </c>
    </row>
    <row r="9" spans="1:27" ht="16.5" customHeight="1">
      <c r="A9" s="1437" t="s">
        <v>2161</v>
      </c>
      <c r="B9" s="792" t="s">
        <v>2118</v>
      </c>
      <c r="C9" s="1049">
        <v>1.96</v>
      </c>
      <c r="D9" s="1049">
        <v>10.83</v>
      </c>
      <c r="E9" s="1049">
        <v>1.02</v>
      </c>
      <c r="F9" s="1049">
        <v>5.91</v>
      </c>
      <c r="G9" s="1049">
        <v>1.1399999999999999</v>
      </c>
      <c r="H9" s="1049">
        <v>7.25</v>
      </c>
      <c r="I9" s="1049">
        <v>2.12</v>
      </c>
      <c r="J9" s="1049">
        <v>12.18</v>
      </c>
      <c r="K9" s="1049">
        <v>6.8689999999999998</v>
      </c>
      <c r="L9" s="1049">
        <v>32.141533699999997</v>
      </c>
      <c r="M9" s="1049">
        <v>5.64</v>
      </c>
      <c r="N9" s="1049">
        <v>78.754561199999998</v>
      </c>
      <c r="O9" s="1048">
        <v>4.7640000000000002</v>
      </c>
      <c r="P9" s="1050">
        <v>24.672502000000001</v>
      </c>
      <c r="Q9" s="1048">
        <v>1.0584E-2</v>
      </c>
      <c r="R9" s="1048">
        <v>49.804071499999999</v>
      </c>
      <c r="S9" s="792">
        <v>4.4409999999999996E-3</v>
      </c>
      <c r="T9" s="792">
        <v>32.156580400000003</v>
      </c>
      <c r="U9" s="1438" t="s">
        <v>2160</v>
      </c>
    </row>
    <row r="10" spans="1:27" ht="16.5" customHeight="1">
      <c r="A10" s="1437" t="s">
        <v>2159</v>
      </c>
      <c r="B10" s="792" t="s">
        <v>2118</v>
      </c>
      <c r="C10" s="1049">
        <v>29.49</v>
      </c>
      <c r="D10" s="1049">
        <v>61.34</v>
      </c>
      <c r="E10" s="1049">
        <v>517.66999999999996</v>
      </c>
      <c r="F10" s="1049">
        <v>872.59</v>
      </c>
      <c r="G10" s="1049">
        <v>5749.43</v>
      </c>
      <c r="H10" s="1049">
        <v>8509.0499999999993</v>
      </c>
      <c r="I10" s="1049">
        <v>1649.73</v>
      </c>
      <c r="J10" s="1049">
        <v>2357.84</v>
      </c>
      <c r="K10" s="1049">
        <v>2.746</v>
      </c>
      <c r="L10" s="1049">
        <v>5.4448032</v>
      </c>
      <c r="M10" s="1049">
        <v>1.8839999999999999</v>
      </c>
      <c r="N10" s="1049">
        <v>4.6327287000000004</v>
      </c>
      <c r="O10" s="1048">
        <v>2E-3</v>
      </c>
      <c r="P10" s="1050">
        <v>1.02708E-2</v>
      </c>
      <c r="Q10" s="1048">
        <v>5.3999999999999998E-5</v>
      </c>
      <c r="R10" s="1048">
        <v>0.17743239999999999</v>
      </c>
      <c r="S10" s="792">
        <v>4.8999999999999998E-5</v>
      </c>
      <c r="T10" s="1048">
        <v>0.20070640000000001</v>
      </c>
      <c r="U10" s="1438" t="s">
        <v>1724</v>
      </c>
      <c r="X10" s="1047"/>
      <c r="Y10" s="1047"/>
    </row>
    <row r="11" spans="1:27" ht="16.5" customHeight="1">
      <c r="A11" s="1437" t="s">
        <v>2158</v>
      </c>
      <c r="B11" s="792" t="s">
        <v>2118</v>
      </c>
      <c r="C11" s="1049">
        <v>23.4</v>
      </c>
      <c r="D11" s="1049">
        <v>61.76</v>
      </c>
      <c r="E11" s="1049">
        <v>206.14</v>
      </c>
      <c r="F11" s="1049">
        <v>344.31</v>
      </c>
      <c r="G11" s="1049">
        <v>311.37</v>
      </c>
      <c r="H11" s="1049">
        <v>493.18</v>
      </c>
      <c r="I11" s="1049">
        <v>265.13</v>
      </c>
      <c r="J11" s="1049">
        <v>433.9</v>
      </c>
      <c r="K11" s="1049">
        <v>244.31700000000001</v>
      </c>
      <c r="L11" s="1049">
        <v>471.2773191</v>
      </c>
      <c r="M11" s="1049">
        <v>673.05799999999999</v>
      </c>
      <c r="N11" s="1049">
        <v>1221.1154724</v>
      </c>
      <c r="O11" s="1050">
        <v>134.78700000000001</v>
      </c>
      <c r="P11" s="1050">
        <v>331.0954572</v>
      </c>
      <c r="Q11" s="1048">
        <v>0.112057</v>
      </c>
      <c r="R11" s="1048">
        <v>369.95883179999998</v>
      </c>
      <c r="S11" s="792">
        <v>0.29846099999999998</v>
      </c>
      <c r="T11" s="1048">
        <v>1119.8086668999999</v>
      </c>
      <c r="U11" s="1438" t="s">
        <v>2157</v>
      </c>
      <c r="X11" s="1047"/>
      <c r="Y11" s="1047"/>
    </row>
    <row r="12" spans="1:27" ht="16.5" customHeight="1">
      <c r="A12" s="1437" t="s">
        <v>2156</v>
      </c>
      <c r="B12" s="792" t="s">
        <v>2118</v>
      </c>
      <c r="C12" s="1049">
        <v>4584.8500000000004</v>
      </c>
      <c r="D12" s="1049">
        <v>17062.939999999999</v>
      </c>
      <c r="E12" s="1049">
        <v>5797.71</v>
      </c>
      <c r="F12" s="1049">
        <v>25619.06</v>
      </c>
      <c r="G12" s="1049">
        <v>6609.49</v>
      </c>
      <c r="H12" s="1049">
        <v>28523.18</v>
      </c>
      <c r="I12" s="1049">
        <v>5607.53</v>
      </c>
      <c r="J12" s="1049">
        <v>18748.57</v>
      </c>
      <c r="K12" s="1049">
        <v>2527.875</v>
      </c>
      <c r="L12" s="1049">
        <v>8035.2952857</v>
      </c>
      <c r="M12" s="1049">
        <v>2898.078</v>
      </c>
      <c r="N12" s="1049">
        <v>10221.4481151</v>
      </c>
      <c r="O12" s="1050">
        <v>2466.1559999999999</v>
      </c>
      <c r="P12" s="1048">
        <v>11937.5891742</v>
      </c>
      <c r="Q12" s="1048">
        <v>2.699694</v>
      </c>
      <c r="R12" s="1048">
        <v>16627.582103600002</v>
      </c>
      <c r="S12" s="792">
        <v>1.9980059999999999</v>
      </c>
      <c r="T12" s="1048">
        <v>12705.1537782</v>
      </c>
      <c r="U12" s="1438" t="s">
        <v>2155</v>
      </c>
      <c r="X12" s="1047"/>
      <c r="Y12" s="1047"/>
    </row>
    <row r="13" spans="1:27" ht="16.5" customHeight="1">
      <c r="A13" s="1439" t="s">
        <v>2154</v>
      </c>
      <c r="B13" s="792" t="s">
        <v>2118</v>
      </c>
      <c r="C13" s="1049">
        <v>1.93</v>
      </c>
      <c r="D13" s="1049">
        <v>98.17</v>
      </c>
      <c r="E13" s="1049">
        <v>2.88</v>
      </c>
      <c r="F13" s="1049">
        <v>137.30000000000001</v>
      </c>
      <c r="G13" s="1049">
        <v>1.97</v>
      </c>
      <c r="H13" s="1049">
        <v>77.209999999999994</v>
      </c>
      <c r="I13" s="1049">
        <v>1.54</v>
      </c>
      <c r="J13" s="1049">
        <v>69.47</v>
      </c>
      <c r="K13" s="1053">
        <v>2.5958320000000001</v>
      </c>
      <c r="L13" s="1049">
        <v>102.887203</v>
      </c>
      <c r="M13" s="1049">
        <v>4.7716419999999999</v>
      </c>
      <c r="N13" s="1049">
        <v>154.73117310000001</v>
      </c>
      <c r="O13" s="1050">
        <v>7.2099440000000001</v>
      </c>
      <c r="P13" s="1050">
        <v>129.10231279999999</v>
      </c>
      <c r="Q13" s="1048">
        <v>6.793768</v>
      </c>
      <c r="R13" s="1048">
        <v>141.56790459999999</v>
      </c>
      <c r="S13" s="792">
        <v>2.31955</v>
      </c>
      <c r="T13" s="1048">
        <v>109.3344761</v>
      </c>
      <c r="U13" s="1438" t="s">
        <v>2153</v>
      </c>
      <c r="X13" s="1047"/>
      <c r="Y13" s="1047"/>
    </row>
    <row r="14" spans="1:27" ht="16.5" customHeight="1">
      <c r="A14" s="1437" t="s">
        <v>2152</v>
      </c>
      <c r="B14" s="792" t="s">
        <v>2077</v>
      </c>
      <c r="C14" s="1052" t="s">
        <v>47</v>
      </c>
      <c r="D14" s="1052">
        <v>200.28</v>
      </c>
      <c r="E14" s="1052" t="s">
        <v>47</v>
      </c>
      <c r="F14" s="1052">
        <v>193.92</v>
      </c>
      <c r="G14" s="1052" t="s">
        <v>47</v>
      </c>
      <c r="H14" s="1052">
        <v>228.54</v>
      </c>
      <c r="I14" s="1052" t="s">
        <v>47</v>
      </c>
      <c r="J14" s="1049">
        <v>185.92</v>
      </c>
      <c r="K14" s="1049"/>
      <c r="L14" s="1049">
        <v>257.51964729999997</v>
      </c>
      <c r="M14" s="1049"/>
      <c r="N14" s="1049">
        <v>237.20155560000001</v>
      </c>
      <c r="O14" s="1048">
        <v>0</v>
      </c>
      <c r="P14" s="1050">
        <v>159.08959770000001</v>
      </c>
      <c r="Q14" s="1048">
        <v>0</v>
      </c>
      <c r="R14" s="1048">
        <v>329.41901680000001</v>
      </c>
      <c r="S14" s="792">
        <v>0</v>
      </c>
      <c r="T14" s="1048">
        <v>419.17338410000002</v>
      </c>
      <c r="U14" s="1438" t="s">
        <v>2151</v>
      </c>
      <c r="X14" s="1047"/>
      <c r="Y14" s="1047"/>
    </row>
    <row r="15" spans="1:27" ht="16.5" customHeight="1">
      <c r="A15" s="1437" t="s">
        <v>2150</v>
      </c>
      <c r="B15" s="792" t="s">
        <v>2118</v>
      </c>
      <c r="C15" s="1049">
        <v>163.09</v>
      </c>
      <c r="D15" s="1049">
        <v>4393.25</v>
      </c>
      <c r="E15" s="1049">
        <v>197.06</v>
      </c>
      <c r="F15" s="1049">
        <v>5399.95</v>
      </c>
      <c r="G15" s="1049">
        <v>242.29</v>
      </c>
      <c r="H15" s="1049">
        <v>5760.25</v>
      </c>
      <c r="I15" s="1049">
        <v>222.33</v>
      </c>
      <c r="J15" s="1049">
        <v>6385.26</v>
      </c>
      <c r="K15" s="1049">
        <v>240.555216</v>
      </c>
      <c r="L15" s="1049">
        <v>7932.7033623999996</v>
      </c>
      <c r="M15" s="1049">
        <v>320.93534</v>
      </c>
      <c r="N15" s="1049">
        <v>10186.9343001</v>
      </c>
      <c r="O15" s="1050">
        <v>344.21135399999997</v>
      </c>
      <c r="P15" s="1050">
        <v>8070.5310566999997</v>
      </c>
      <c r="Q15" s="1048">
        <v>364.067632</v>
      </c>
      <c r="R15" s="1048">
        <v>9684.7404697000002</v>
      </c>
      <c r="S15" s="792">
        <v>343.24890599999998</v>
      </c>
      <c r="T15" s="1048">
        <v>9073.6944724999994</v>
      </c>
      <c r="U15" s="1438" t="s">
        <v>2149</v>
      </c>
      <c r="X15" s="1047"/>
      <c r="Y15" s="1047"/>
    </row>
    <row r="16" spans="1:27" ht="16.5" customHeight="1">
      <c r="A16" s="1437" t="s">
        <v>2148</v>
      </c>
      <c r="B16" s="792" t="s">
        <v>2118</v>
      </c>
      <c r="C16" s="1049">
        <v>933.19</v>
      </c>
      <c r="D16" s="1049">
        <v>6599.74</v>
      </c>
      <c r="E16" s="1049">
        <v>961.67</v>
      </c>
      <c r="F16" s="1049">
        <v>8701.2800000000007</v>
      </c>
      <c r="G16" s="1049">
        <v>774.51</v>
      </c>
      <c r="H16" s="1049">
        <v>9027.09</v>
      </c>
      <c r="I16" s="1049">
        <v>654.02</v>
      </c>
      <c r="J16" s="1049">
        <v>9134.33</v>
      </c>
      <c r="K16" s="1049">
        <v>839.63699999999994</v>
      </c>
      <c r="L16" s="1049">
        <v>11162.3153879</v>
      </c>
      <c r="M16" s="1049">
        <v>941.41899999999998</v>
      </c>
      <c r="N16" s="1049">
        <v>9026.3398307999996</v>
      </c>
      <c r="O16" s="1050">
        <v>834.40300000000002</v>
      </c>
      <c r="P16" s="1048">
        <v>7491.2146806000001</v>
      </c>
      <c r="Q16" s="1048">
        <v>0.93920000000000003</v>
      </c>
      <c r="R16" s="1048">
        <v>9338.3667337999996</v>
      </c>
      <c r="S16" s="792">
        <v>1.2541910000000001</v>
      </c>
      <c r="T16" s="1048">
        <v>13555.0007761</v>
      </c>
      <c r="U16" s="1438" t="s">
        <v>2147</v>
      </c>
      <c r="X16" s="1047"/>
      <c r="Y16" s="1047"/>
    </row>
    <row r="17" spans="1:25" ht="16.5" customHeight="1">
      <c r="A17" s="1437" t="s">
        <v>2146</v>
      </c>
      <c r="B17" s="792" t="s">
        <v>2077</v>
      </c>
      <c r="C17" s="1049">
        <v>1.72</v>
      </c>
      <c r="D17" s="1049">
        <v>10.029999999999999</v>
      </c>
      <c r="E17" s="1049">
        <v>1.86</v>
      </c>
      <c r="F17" s="1049">
        <v>5.6</v>
      </c>
      <c r="G17" s="1049">
        <v>1.69</v>
      </c>
      <c r="H17" s="1049">
        <v>3.67</v>
      </c>
      <c r="I17" s="1049">
        <v>2.09</v>
      </c>
      <c r="J17" s="1049">
        <v>5.66</v>
      </c>
      <c r="K17" s="1049">
        <v>6.6114899999999999</v>
      </c>
      <c r="L17" s="1049">
        <v>21.052349299999999</v>
      </c>
      <c r="M17" s="1049">
        <v>8.6655200000000008</v>
      </c>
      <c r="N17" s="1049">
        <v>22.936491</v>
      </c>
      <c r="O17" s="1050">
        <v>2.201031</v>
      </c>
      <c r="P17" s="1050">
        <v>7.1685843</v>
      </c>
      <c r="Q17" s="1048">
        <v>6.5264170000000004</v>
      </c>
      <c r="R17" s="1048">
        <v>22.881917999999999</v>
      </c>
      <c r="S17" s="792">
        <v>2.7756720000000001</v>
      </c>
      <c r="T17" s="1048">
        <v>9.9431633000000001</v>
      </c>
      <c r="U17" s="1438" t="s">
        <v>2145</v>
      </c>
      <c r="X17" s="1047"/>
      <c r="Y17" s="1047"/>
    </row>
    <row r="18" spans="1:25" ht="16.5" customHeight="1">
      <c r="A18" s="1437" t="s">
        <v>2144</v>
      </c>
      <c r="B18" s="792" t="s">
        <v>2118</v>
      </c>
      <c r="C18" s="1049">
        <v>34.770000000000003</v>
      </c>
      <c r="D18" s="1049">
        <v>379.99</v>
      </c>
      <c r="E18" s="1049">
        <v>23.6</v>
      </c>
      <c r="F18" s="1049">
        <v>179.66</v>
      </c>
      <c r="G18" s="1049">
        <v>69.03</v>
      </c>
      <c r="H18" s="1049">
        <v>442.15</v>
      </c>
      <c r="I18" s="1049">
        <v>26.27</v>
      </c>
      <c r="J18" s="1049">
        <v>176.77</v>
      </c>
      <c r="K18" s="1049">
        <v>87.538037000000003</v>
      </c>
      <c r="L18" s="1049">
        <v>875.17265259999999</v>
      </c>
      <c r="M18" s="1049">
        <v>146.989915</v>
      </c>
      <c r="N18" s="1049">
        <v>1450.191924</v>
      </c>
      <c r="O18" s="1050">
        <v>103.235806</v>
      </c>
      <c r="P18" s="1050">
        <v>910.76175969999997</v>
      </c>
      <c r="Q18" s="1048">
        <v>21.095942000000001</v>
      </c>
      <c r="R18" s="1048">
        <v>219.8804725</v>
      </c>
      <c r="S18" s="792">
        <v>23.676335000000002</v>
      </c>
      <c r="T18" s="1048">
        <v>296.08740419999998</v>
      </c>
      <c r="U18" s="1438" t="s">
        <v>2143</v>
      </c>
      <c r="X18" s="1047"/>
      <c r="Y18" s="1047"/>
    </row>
    <row r="19" spans="1:25" ht="16.5" customHeight="1">
      <c r="A19" s="1437" t="s">
        <v>2142</v>
      </c>
      <c r="B19" s="792" t="s">
        <v>2118</v>
      </c>
      <c r="C19" s="1049">
        <v>0.7</v>
      </c>
      <c r="D19" s="1049">
        <v>3.73</v>
      </c>
      <c r="E19" s="1049">
        <v>5.78</v>
      </c>
      <c r="F19" s="1049">
        <v>44.14</v>
      </c>
      <c r="G19" s="1049">
        <v>10.66</v>
      </c>
      <c r="H19" s="1049">
        <v>82.82</v>
      </c>
      <c r="I19" s="1049">
        <v>5.33</v>
      </c>
      <c r="J19" s="1049">
        <v>29</v>
      </c>
      <c r="K19" s="1049">
        <v>8.6648829999999997</v>
      </c>
      <c r="L19" s="1049">
        <v>40.620356000000001</v>
      </c>
      <c r="M19" s="1049">
        <v>4.7019060000000001</v>
      </c>
      <c r="N19" s="1049">
        <v>24.428569499999998</v>
      </c>
      <c r="O19" s="1050">
        <v>5.9186399999999999</v>
      </c>
      <c r="P19" s="1050">
        <v>40.708518599999998</v>
      </c>
      <c r="Q19" s="1048">
        <v>5.6459999999999999</v>
      </c>
      <c r="R19" s="1048">
        <v>40.650247499999999</v>
      </c>
      <c r="S19" s="792">
        <v>0.77900000000000003</v>
      </c>
      <c r="T19" s="1048">
        <v>5.7843450000000001</v>
      </c>
      <c r="U19" s="1438" t="s">
        <v>2141</v>
      </c>
      <c r="X19" s="1047"/>
      <c r="Y19" s="1047"/>
    </row>
    <row r="20" spans="1:25" ht="16.5" customHeight="1">
      <c r="A20" s="1437" t="s">
        <v>2140</v>
      </c>
      <c r="B20" s="792" t="s">
        <v>2118</v>
      </c>
      <c r="C20" s="1049">
        <v>0.13</v>
      </c>
      <c r="D20" s="1049">
        <v>0.49</v>
      </c>
      <c r="E20" s="1049">
        <v>0.11</v>
      </c>
      <c r="F20" s="1049">
        <v>0.31</v>
      </c>
      <c r="G20" s="1049">
        <v>0.33</v>
      </c>
      <c r="H20" s="1049">
        <v>1.39</v>
      </c>
      <c r="I20" s="1049">
        <v>1.72</v>
      </c>
      <c r="J20" s="1049">
        <v>13.04</v>
      </c>
      <c r="K20" s="1049">
        <v>1.087</v>
      </c>
      <c r="L20" s="1049">
        <v>8.1359683</v>
      </c>
      <c r="M20" s="1049">
        <v>1.952</v>
      </c>
      <c r="N20" s="1049">
        <v>11.4676776</v>
      </c>
      <c r="O20" s="1050">
        <v>1.036</v>
      </c>
      <c r="P20" s="1050">
        <v>7.9487084000000001</v>
      </c>
      <c r="Q20" s="1048">
        <v>7.5000000000000002E-4</v>
      </c>
      <c r="R20" s="1048">
        <v>9.3714884000000005</v>
      </c>
      <c r="S20" s="792">
        <v>1.165E-3</v>
      </c>
      <c r="T20" s="1048">
        <v>12.425686799999999</v>
      </c>
      <c r="U20" s="1438" t="s">
        <v>1712</v>
      </c>
      <c r="X20" s="1047"/>
      <c r="Y20" s="1047"/>
    </row>
    <row r="21" spans="1:25" ht="16.5" customHeight="1">
      <c r="A21" s="1437" t="s">
        <v>2139</v>
      </c>
      <c r="B21" s="792" t="s">
        <v>2118</v>
      </c>
      <c r="C21" s="1049">
        <v>51.56</v>
      </c>
      <c r="D21" s="1049">
        <v>163.29</v>
      </c>
      <c r="E21" s="1049">
        <v>62.51</v>
      </c>
      <c r="F21" s="1049">
        <v>218.62</v>
      </c>
      <c r="G21" s="1049">
        <v>116.64</v>
      </c>
      <c r="H21" s="1049">
        <v>392.36</v>
      </c>
      <c r="I21" s="1049">
        <v>127.35</v>
      </c>
      <c r="J21" s="1049">
        <v>364.59</v>
      </c>
      <c r="K21" s="1049">
        <v>220.483</v>
      </c>
      <c r="L21" s="1049">
        <v>745.35190720000003</v>
      </c>
      <c r="M21" s="1049">
        <v>410.94400000000002</v>
      </c>
      <c r="N21" s="1049">
        <v>1527.7821243000001</v>
      </c>
      <c r="O21" s="1050">
        <v>506.87599999999998</v>
      </c>
      <c r="P21" s="1050">
        <v>2165.2777418000001</v>
      </c>
      <c r="Q21" s="1048">
        <v>0.70147700000000002</v>
      </c>
      <c r="R21" s="1048">
        <v>4307.5287191999996</v>
      </c>
      <c r="S21" s="792">
        <v>0.38771499999999998</v>
      </c>
      <c r="T21" s="1048">
        <v>2511.7050383999999</v>
      </c>
      <c r="U21" s="1438" t="s">
        <v>2138</v>
      </c>
      <c r="X21" s="1047"/>
      <c r="Y21" s="1047"/>
    </row>
    <row r="22" spans="1:25" ht="16.5" customHeight="1">
      <c r="A22" s="1437" t="s">
        <v>2137</v>
      </c>
      <c r="B22" s="792" t="s">
        <v>2077</v>
      </c>
      <c r="C22" s="1049">
        <v>12731.6</v>
      </c>
      <c r="D22" s="1049">
        <v>64889.599999999999</v>
      </c>
      <c r="E22" s="1049">
        <v>15643.74</v>
      </c>
      <c r="F22" s="1049">
        <v>68676.62</v>
      </c>
      <c r="G22" s="1049">
        <v>14007.39</v>
      </c>
      <c r="H22" s="1049">
        <v>73038.98</v>
      </c>
      <c r="I22" s="1049">
        <v>15361.02</v>
      </c>
      <c r="J22" s="1049">
        <v>74995.91</v>
      </c>
      <c r="K22" s="1049">
        <v>15019.303</v>
      </c>
      <c r="L22" s="1049">
        <v>69023.794130499999</v>
      </c>
      <c r="M22" s="1049">
        <v>14722.107</v>
      </c>
      <c r="N22" s="1049">
        <v>68558.164538099998</v>
      </c>
      <c r="O22" s="1050">
        <v>13540.008</v>
      </c>
      <c r="P22" s="1048">
        <v>82123.259583100007</v>
      </c>
      <c r="Q22" s="1048">
        <v>14.278155999999999</v>
      </c>
      <c r="R22" s="1048">
        <v>141531.78416740001</v>
      </c>
      <c r="S22" s="792">
        <v>13.360806999999999</v>
      </c>
      <c r="T22" s="1048">
        <v>144726.64788</v>
      </c>
      <c r="U22" s="1438" t="s">
        <v>2136</v>
      </c>
      <c r="X22" s="1047"/>
      <c r="Y22" s="1047"/>
    </row>
    <row r="23" spans="1:25" ht="16.5" customHeight="1">
      <c r="A23" s="1437" t="s">
        <v>2135</v>
      </c>
      <c r="B23" s="792" t="s">
        <v>2077</v>
      </c>
      <c r="C23" s="1049">
        <v>165.1</v>
      </c>
      <c r="D23" s="1049">
        <v>272.64999999999998</v>
      </c>
      <c r="E23" s="1049">
        <v>256.55</v>
      </c>
      <c r="F23" s="1049">
        <v>429.91</v>
      </c>
      <c r="G23" s="1049">
        <v>550.42999999999995</v>
      </c>
      <c r="H23" s="1049">
        <v>974.59</v>
      </c>
      <c r="I23" s="1049">
        <v>485.96</v>
      </c>
      <c r="J23" s="1049">
        <v>746.67</v>
      </c>
      <c r="K23" s="1049">
        <v>503.99900000000002</v>
      </c>
      <c r="L23" s="1049">
        <v>869.55864440000005</v>
      </c>
      <c r="M23" s="1049">
        <v>859.80200000000002</v>
      </c>
      <c r="N23" s="1049">
        <v>1519.481192</v>
      </c>
      <c r="O23" s="1050">
        <v>509.78800000000001</v>
      </c>
      <c r="P23" s="1048">
        <v>1017.6072405</v>
      </c>
      <c r="Q23" s="1048">
        <v>1.3018730000000001</v>
      </c>
      <c r="R23" s="1048">
        <v>4541.9099981999998</v>
      </c>
      <c r="S23" s="792">
        <v>0.45172299999999999</v>
      </c>
      <c r="T23" s="1048">
        <v>1537.6291034999999</v>
      </c>
      <c r="U23" s="1438" t="s">
        <v>2134</v>
      </c>
      <c r="X23" s="1047"/>
      <c r="Y23" s="1047"/>
    </row>
    <row r="24" spans="1:25" ht="16.5" customHeight="1">
      <c r="A24" s="1437" t="s">
        <v>2133</v>
      </c>
      <c r="B24" s="792" t="s">
        <v>2077</v>
      </c>
      <c r="C24" s="1049">
        <v>0.13</v>
      </c>
      <c r="D24" s="1049">
        <v>5.72</v>
      </c>
      <c r="E24" s="1049">
        <v>0.63</v>
      </c>
      <c r="F24" s="1049">
        <v>13.93</v>
      </c>
      <c r="G24" s="1049">
        <v>0.18</v>
      </c>
      <c r="H24" s="1049">
        <v>2.41</v>
      </c>
      <c r="I24" s="1049">
        <v>0.43</v>
      </c>
      <c r="J24" s="1049">
        <v>3.3</v>
      </c>
      <c r="K24" s="1049">
        <v>0.71499999999999997</v>
      </c>
      <c r="L24" s="1049">
        <v>5.9043115000000004</v>
      </c>
      <c r="M24" s="1049">
        <v>2.15</v>
      </c>
      <c r="N24" s="1049">
        <v>25.898524200000001</v>
      </c>
      <c r="O24" s="1050">
        <v>0.36599999999999999</v>
      </c>
      <c r="P24" s="1050">
        <v>11.020483199999999</v>
      </c>
      <c r="Q24" s="1048">
        <v>1.7699999999999999E-4</v>
      </c>
      <c r="R24" s="1048">
        <v>5.8833514999999998</v>
      </c>
      <c r="S24" s="792">
        <v>9.0300000000000005E-4</v>
      </c>
      <c r="T24" s="1048">
        <v>19.8815083</v>
      </c>
      <c r="U24" s="1438" t="s">
        <v>2132</v>
      </c>
      <c r="X24" s="1047"/>
      <c r="Y24" s="1047"/>
    </row>
    <row r="25" spans="1:25" ht="16.5" customHeight="1">
      <c r="A25" s="1437" t="s">
        <v>2131</v>
      </c>
      <c r="B25" s="792" t="s">
        <v>2077</v>
      </c>
      <c r="C25" s="1049">
        <v>0.05</v>
      </c>
      <c r="D25" s="1049">
        <v>1.81</v>
      </c>
      <c r="E25" s="1049">
        <v>0.03</v>
      </c>
      <c r="F25" s="1049">
        <v>1.1000000000000001</v>
      </c>
      <c r="G25" s="1049">
        <v>0.11</v>
      </c>
      <c r="H25" s="1049">
        <v>1.5</v>
      </c>
      <c r="I25" s="1049">
        <v>0.04</v>
      </c>
      <c r="J25" s="1049">
        <v>2.54</v>
      </c>
      <c r="K25" s="1049">
        <v>0.22381499999999999</v>
      </c>
      <c r="L25" s="1049">
        <v>5.3193733999999999</v>
      </c>
      <c r="M25" s="1049">
        <v>0.13842699999999999</v>
      </c>
      <c r="N25" s="1049">
        <v>8.0277373000000001</v>
      </c>
      <c r="O25" s="1050">
        <v>0.16389699999999999</v>
      </c>
      <c r="P25" s="1050">
        <v>10.1296508</v>
      </c>
      <c r="Q25" s="1048">
        <v>9.3676999999999996E-2</v>
      </c>
      <c r="R25" s="1048">
        <v>8.1353720999999997</v>
      </c>
      <c r="S25" s="792">
        <v>0.17852999999999999</v>
      </c>
      <c r="T25" s="1048">
        <v>9.4466838000000006</v>
      </c>
      <c r="U25" s="1438" t="s">
        <v>2130</v>
      </c>
      <c r="X25" s="1047"/>
      <c r="Y25" s="1047"/>
    </row>
    <row r="26" spans="1:25" ht="16.5" customHeight="1">
      <c r="A26" s="1437" t="s">
        <v>2129</v>
      </c>
      <c r="B26" s="792" t="s">
        <v>2077</v>
      </c>
      <c r="C26" s="1049">
        <v>1.77</v>
      </c>
      <c r="D26" s="1049">
        <v>59.54</v>
      </c>
      <c r="E26" s="1049">
        <v>0.71</v>
      </c>
      <c r="F26" s="1049">
        <v>19.48</v>
      </c>
      <c r="G26" s="1049">
        <v>0.46</v>
      </c>
      <c r="H26" s="1049">
        <v>13.43</v>
      </c>
      <c r="I26" s="1049">
        <v>0.47</v>
      </c>
      <c r="J26" s="1049">
        <v>18.38</v>
      </c>
      <c r="K26" s="1049">
        <v>0.64095800000000003</v>
      </c>
      <c r="L26" s="1049">
        <v>19.352488300000001</v>
      </c>
      <c r="M26" s="1049">
        <v>0.84626100000000004</v>
      </c>
      <c r="N26" s="1049">
        <v>23.488124299999999</v>
      </c>
      <c r="O26" s="1050">
        <v>0.63863700000000001</v>
      </c>
      <c r="P26" s="1050">
        <v>21.223456500000001</v>
      </c>
      <c r="Q26" s="1048">
        <v>1.679284</v>
      </c>
      <c r="R26" s="1048">
        <v>77.954224199999999</v>
      </c>
      <c r="S26" s="792">
        <v>3.2479119999999999</v>
      </c>
      <c r="T26" s="1048">
        <v>194.9572034</v>
      </c>
      <c r="U26" s="1438" t="s">
        <v>2128</v>
      </c>
      <c r="X26" s="1047"/>
      <c r="Y26" s="1047"/>
    </row>
    <row r="27" spans="1:25" ht="16.5" customHeight="1">
      <c r="A27" s="1437" t="s">
        <v>2127</v>
      </c>
      <c r="B27" s="792" t="s">
        <v>2077</v>
      </c>
      <c r="C27" s="1049">
        <v>1538.64</v>
      </c>
      <c r="D27" s="1049">
        <v>3668.21</v>
      </c>
      <c r="E27" s="1049">
        <v>1943.13</v>
      </c>
      <c r="F27" s="1049">
        <v>4037.86</v>
      </c>
      <c r="G27" s="1049">
        <v>2146.15</v>
      </c>
      <c r="H27" s="1049">
        <v>6868.61</v>
      </c>
      <c r="I27" s="1049">
        <v>2402.98</v>
      </c>
      <c r="J27" s="1049">
        <v>6035.84</v>
      </c>
      <c r="K27" s="1049">
        <v>1490.605</v>
      </c>
      <c r="L27" s="1049">
        <v>3175.3880727000001</v>
      </c>
      <c r="M27" s="1049">
        <v>1117.7260000000001</v>
      </c>
      <c r="N27" s="1049">
        <v>2473.2454822</v>
      </c>
      <c r="O27" s="1050">
        <v>1963.998</v>
      </c>
      <c r="P27" s="1050">
        <v>4720.0118284</v>
      </c>
      <c r="Q27" s="1048">
        <v>0.35961500000000002</v>
      </c>
      <c r="R27" s="1048">
        <v>1263.1880232000001</v>
      </c>
      <c r="S27" s="792">
        <v>0.49509300000000001</v>
      </c>
      <c r="T27" s="1048">
        <v>2049.2525655999998</v>
      </c>
      <c r="U27" s="1438" t="s">
        <v>2126</v>
      </c>
      <c r="X27" s="1047"/>
      <c r="Y27" s="1047"/>
    </row>
    <row r="28" spans="1:25" ht="16.5" customHeight="1">
      <c r="A28" s="1437" t="s">
        <v>2125</v>
      </c>
      <c r="B28" s="792" t="s">
        <v>2077</v>
      </c>
      <c r="C28" s="1049">
        <v>60.28</v>
      </c>
      <c r="D28" s="1049">
        <v>30.14</v>
      </c>
      <c r="E28" s="1049">
        <v>17.27</v>
      </c>
      <c r="F28" s="1049">
        <v>7.5</v>
      </c>
      <c r="G28" s="1049">
        <v>13.84</v>
      </c>
      <c r="H28" s="1049">
        <v>9.0399999999999991</v>
      </c>
      <c r="I28" s="1049">
        <v>72.849999999999994</v>
      </c>
      <c r="J28" s="1049">
        <v>69.290000000000006</v>
      </c>
      <c r="K28" s="1049">
        <v>4.468</v>
      </c>
      <c r="L28" s="1049">
        <v>1.3810469999999999</v>
      </c>
      <c r="M28" s="1049">
        <v>31.716000000000001</v>
      </c>
      <c r="N28" s="1049">
        <v>10.207245</v>
      </c>
      <c r="O28" s="1050">
        <v>1.651</v>
      </c>
      <c r="P28" s="1050">
        <v>0.92193510000000001</v>
      </c>
      <c r="Q28" s="1048">
        <v>1.9449999999999999E-3</v>
      </c>
      <c r="R28" s="1048">
        <v>2.0095211000000002</v>
      </c>
      <c r="S28" s="792">
        <v>4.5469999999999998E-3</v>
      </c>
      <c r="T28" s="1048">
        <v>4.2134195999999999</v>
      </c>
      <c r="U28" s="1438" t="s">
        <v>2124</v>
      </c>
      <c r="X28" s="1047"/>
      <c r="Y28" s="1047"/>
    </row>
    <row r="29" spans="1:25" ht="16.5" customHeight="1">
      <c r="A29" s="1437" t="s">
        <v>2123</v>
      </c>
      <c r="B29" s="792" t="s">
        <v>2118</v>
      </c>
      <c r="C29" s="1049">
        <v>14.01</v>
      </c>
      <c r="D29" s="1049">
        <v>611.53</v>
      </c>
      <c r="E29" s="1049">
        <v>14.33</v>
      </c>
      <c r="F29" s="1049">
        <v>703.03</v>
      </c>
      <c r="G29" s="1049">
        <v>14.07</v>
      </c>
      <c r="H29" s="1049">
        <v>653.33000000000004</v>
      </c>
      <c r="I29" s="1049">
        <v>16.05</v>
      </c>
      <c r="J29" s="1049">
        <v>768.26</v>
      </c>
      <c r="K29" s="1049">
        <v>19.725767999999999</v>
      </c>
      <c r="L29" s="1049">
        <v>835.80749130000004</v>
      </c>
      <c r="M29" s="1049">
        <v>17.775562999999998</v>
      </c>
      <c r="N29" s="1049">
        <v>851.78723969999999</v>
      </c>
      <c r="O29" s="1050">
        <v>24.983613999999999</v>
      </c>
      <c r="P29" s="1050">
        <v>1060.2374439</v>
      </c>
      <c r="Q29" s="1048">
        <v>19.761889</v>
      </c>
      <c r="R29" s="1048">
        <v>1043.1246527000001</v>
      </c>
      <c r="S29" s="792">
        <v>25.721447999999999</v>
      </c>
      <c r="T29" s="1048">
        <v>1047.3258357</v>
      </c>
      <c r="U29" s="1438" t="s">
        <v>2122</v>
      </c>
      <c r="X29" s="1047"/>
      <c r="Y29" s="1047"/>
    </row>
    <row r="30" spans="1:25" ht="16.5" customHeight="1">
      <c r="A30" s="1437" t="s">
        <v>2121</v>
      </c>
      <c r="B30" s="792" t="s">
        <v>2118</v>
      </c>
      <c r="C30" s="1049">
        <v>900.98</v>
      </c>
      <c r="D30" s="1049">
        <v>9566.81</v>
      </c>
      <c r="E30" s="1049">
        <v>857.9</v>
      </c>
      <c r="F30" s="1049">
        <v>11071.57</v>
      </c>
      <c r="G30" s="1049">
        <v>1057.51</v>
      </c>
      <c r="H30" s="1049">
        <v>11290.62</v>
      </c>
      <c r="I30" s="1049">
        <v>994.7</v>
      </c>
      <c r="J30" s="1049">
        <v>12524.55</v>
      </c>
      <c r="K30" s="1049">
        <v>1124.1780000000001</v>
      </c>
      <c r="L30" s="1049">
        <v>13931.6545155</v>
      </c>
      <c r="M30" s="1049">
        <v>993.73</v>
      </c>
      <c r="N30" s="1049">
        <v>14137.085098899999</v>
      </c>
      <c r="O30" s="1050">
        <v>1211.8330000000001</v>
      </c>
      <c r="P30" s="1048">
        <v>15764.8621004</v>
      </c>
      <c r="Q30" s="1048">
        <v>1.552494</v>
      </c>
      <c r="R30" s="1048">
        <v>18342.085479500001</v>
      </c>
      <c r="S30" s="792">
        <v>1.213848</v>
      </c>
      <c r="T30" s="1048">
        <v>16584.035626100002</v>
      </c>
      <c r="U30" s="1438" t="s">
        <v>2120</v>
      </c>
      <c r="X30" s="1047"/>
      <c r="Y30" s="1047"/>
    </row>
    <row r="31" spans="1:25" ht="16.5" customHeight="1">
      <c r="A31" s="1437" t="s">
        <v>2119</v>
      </c>
      <c r="B31" s="792" t="s">
        <v>2118</v>
      </c>
      <c r="C31" s="1049">
        <v>8.24</v>
      </c>
      <c r="D31" s="1049">
        <v>11.14</v>
      </c>
      <c r="E31" s="1049">
        <v>140.72999999999999</v>
      </c>
      <c r="F31" s="1049">
        <v>394.45</v>
      </c>
      <c r="G31" s="1049">
        <v>8.5500000000000007</v>
      </c>
      <c r="H31" s="1049">
        <v>11.12</v>
      </c>
      <c r="I31" s="1049">
        <v>15.66</v>
      </c>
      <c r="J31" s="1049">
        <v>25.64</v>
      </c>
      <c r="K31" s="1049">
        <v>14.749000000000001</v>
      </c>
      <c r="L31" s="1049">
        <v>24.2177115</v>
      </c>
      <c r="M31" s="1049">
        <v>150.09700000000001</v>
      </c>
      <c r="N31" s="1049">
        <v>594.81645030000004</v>
      </c>
      <c r="O31" s="1050">
        <v>72.897999999999996</v>
      </c>
      <c r="P31" s="1050">
        <v>225.5656822</v>
      </c>
      <c r="Q31" s="1048">
        <v>4.5989000000000002E-2</v>
      </c>
      <c r="R31" s="1048">
        <v>138.11229829999999</v>
      </c>
      <c r="S31" s="792">
        <v>1.7693E-2</v>
      </c>
      <c r="T31" s="1048">
        <v>35.452795500000001</v>
      </c>
      <c r="U31" s="1438" t="s">
        <v>2117</v>
      </c>
      <c r="X31" s="1047"/>
      <c r="Y31" s="1047"/>
    </row>
    <row r="32" spans="1:25" ht="16.5" customHeight="1">
      <c r="A32" s="1437" t="s">
        <v>2116</v>
      </c>
      <c r="B32" s="792" t="s">
        <v>2077</v>
      </c>
      <c r="C32" s="1049">
        <v>10.96</v>
      </c>
      <c r="D32" s="1049">
        <v>104.45</v>
      </c>
      <c r="E32" s="1049">
        <v>15.38</v>
      </c>
      <c r="F32" s="1049">
        <v>120.33</v>
      </c>
      <c r="G32" s="1049">
        <v>13.32</v>
      </c>
      <c r="H32" s="1049">
        <v>115.26</v>
      </c>
      <c r="I32" s="1049">
        <v>15.34</v>
      </c>
      <c r="J32" s="1049">
        <v>134.83000000000001</v>
      </c>
      <c r="K32" s="1049">
        <v>18.097791999999998</v>
      </c>
      <c r="L32" s="1049">
        <v>161.83124309999999</v>
      </c>
      <c r="M32" s="1049">
        <v>33.62182</v>
      </c>
      <c r="N32" s="1049">
        <v>253.67528379999999</v>
      </c>
      <c r="O32" s="1050">
        <v>18.265594</v>
      </c>
      <c r="P32" s="1050">
        <v>163.52327030000001</v>
      </c>
      <c r="Q32" s="1048">
        <v>20.714023999999998</v>
      </c>
      <c r="R32" s="1048">
        <v>209.09094060000001</v>
      </c>
      <c r="S32" s="792">
        <v>19.179832999999999</v>
      </c>
      <c r="T32" s="1048">
        <v>217.658737</v>
      </c>
      <c r="U32" s="1438" t="s">
        <v>2115</v>
      </c>
      <c r="X32" s="1047"/>
      <c r="Y32" s="1047"/>
    </row>
    <row r="33" spans="1:28" ht="16.5" customHeight="1">
      <c r="A33" s="1437" t="s">
        <v>2114</v>
      </c>
      <c r="B33" s="792" t="s">
        <v>2077</v>
      </c>
      <c r="C33" s="1049">
        <v>33.549999999999997</v>
      </c>
      <c r="D33" s="1049">
        <v>499.54</v>
      </c>
      <c r="E33" s="1049">
        <v>40.49</v>
      </c>
      <c r="F33" s="1049">
        <v>526.49</v>
      </c>
      <c r="G33" s="1049">
        <v>42.99</v>
      </c>
      <c r="H33" s="1049">
        <v>548.1</v>
      </c>
      <c r="I33" s="1049">
        <v>53.59</v>
      </c>
      <c r="J33" s="1049">
        <v>803.81</v>
      </c>
      <c r="K33" s="1049">
        <v>59.123888000000001</v>
      </c>
      <c r="L33" s="1049">
        <v>909.33668680000005</v>
      </c>
      <c r="M33" s="1049">
        <v>54.102359999999997</v>
      </c>
      <c r="N33" s="1049">
        <v>771.2203336</v>
      </c>
      <c r="O33" s="1050">
        <v>44.436756000000003</v>
      </c>
      <c r="P33" s="1050">
        <v>662.91634680000004</v>
      </c>
      <c r="Q33" s="1048">
        <v>63.163834999999999</v>
      </c>
      <c r="R33" s="1048">
        <v>997.7828088</v>
      </c>
      <c r="S33" s="792">
        <v>50.419525999999998</v>
      </c>
      <c r="T33" s="1048">
        <v>1008.6340845</v>
      </c>
      <c r="U33" s="1438" t="s">
        <v>2113</v>
      </c>
      <c r="X33" s="1047"/>
      <c r="Y33" s="1047"/>
    </row>
    <row r="34" spans="1:28" ht="16.5" customHeight="1">
      <c r="A34" s="1437" t="s">
        <v>2112</v>
      </c>
      <c r="B34" s="792" t="s">
        <v>2077</v>
      </c>
      <c r="C34" s="1049">
        <v>72.72</v>
      </c>
      <c r="D34" s="1049">
        <v>583.92999999999995</v>
      </c>
      <c r="E34" s="1049">
        <v>61.7</v>
      </c>
      <c r="F34" s="1049">
        <v>575.41999999999996</v>
      </c>
      <c r="G34" s="1049">
        <v>66.459999999999994</v>
      </c>
      <c r="H34" s="1049">
        <v>579.03</v>
      </c>
      <c r="I34" s="1049">
        <v>71.099999999999994</v>
      </c>
      <c r="J34" s="1049">
        <v>659.68</v>
      </c>
      <c r="K34" s="1049">
        <v>90.576999999999998</v>
      </c>
      <c r="L34" s="1049">
        <v>971.36391000000003</v>
      </c>
      <c r="M34" s="1049">
        <v>95.938000000000002</v>
      </c>
      <c r="N34" s="1049">
        <v>1007.659639</v>
      </c>
      <c r="O34" s="1050">
        <v>113.33</v>
      </c>
      <c r="P34" s="1050">
        <v>1212.1486999000001</v>
      </c>
      <c r="Q34" s="1048">
        <v>0.12478599999999999</v>
      </c>
      <c r="R34" s="1048">
        <v>1527.8374725000001</v>
      </c>
      <c r="S34" s="792">
        <v>9.0509000000000006E-2</v>
      </c>
      <c r="T34" s="1048">
        <v>1440.0686321000001</v>
      </c>
      <c r="U34" s="1438" t="s">
        <v>2111</v>
      </c>
      <c r="X34" s="1047"/>
      <c r="Y34" s="1047"/>
    </row>
    <row r="35" spans="1:28" ht="16.5" customHeight="1">
      <c r="A35" s="1437" t="s">
        <v>2110</v>
      </c>
      <c r="B35" s="792" t="s">
        <v>2077</v>
      </c>
      <c r="C35" s="1049">
        <v>65.39</v>
      </c>
      <c r="D35" s="1049">
        <v>1551.63</v>
      </c>
      <c r="E35" s="1049">
        <v>56.42</v>
      </c>
      <c r="F35" s="1049">
        <v>1398.91</v>
      </c>
      <c r="G35" s="1049">
        <v>63.61</v>
      </c>
      <c r="H35" s="1049">
        <v>1542.28</v>
      </c>
      <c r="I35" s="1049">
        <v>71.260000000000005</v>
      </c>
      <c r="J35" s="1049">
        <v>1473.1</v>
      </c>
      <c r="K35" s="1049">
        <v>87.595130999999995</v>
      </c>
      <c r="L35" s="1049">
        <v>1845.8882229999999</v>
      </c>
      <c r="M35" s="1049">
        <v>85.276190999999997</v>
      </c>
      <c r="N35" s="1049">
        <v>1833.9744194</v>
      </c>
      <c r="O35" s="1050">
        <v>89.091104999999999</v>
      </c>
      <c r="P35" s="1050">
        <v>2021.2653074</v>
      </c>
      <c r="Q35" s="1048">
        <v>111.187608</v>
      </c>
      <c r="R35" s="1048">
        <v>2713.9298291999999</v>
      </c>
      <c r="S35" s="792">
        <v>111.14688599999999</v>
      </c>
      <c r="T35" s="1048">
        <v>3020.4340480000001</v>
      </c>
      <c r="U35" s="1438" t="s">
        <v>2109</v>
      </c>
      <c r="X35" s="1047"/>
      <c r="Y35" s="1047"/>
    </row>
    <row r="36" spans="1:28" ht="16.5" customHeight="1">
      <c r="A36" s="1437" t="s">
        <v>2108</v>
      </c>
      <c r="B36" s="792" t="s">
        <v>2077</v>
      </c>
      <c r="C36" s="1049">
        <v>3.47</v>
      </c>
      <c r="D36" s="1049">
        <v>17.72</v>
      </c>
      <c r="E36" s="1049">
        <v>4.3899999999999997</v>
      </c>
      <c r="F36" s="1049">
        <v>21.4</v>
      </c>
      <c r="G36" s="1049">
        <v>3.56</v>
      </c>
      <c r="H36" s="1049">
        <v>16.22</v>
      </c>
      <c r="I36" s="1049">
        <v>3.28</v>
      </c>
      <c r="J36" s="1049">
        <v>13.02</v>
      </c>
      <c r="K36" s="1049">
        <v>4.1848289999999997</v>
      </c>
      <c r="L36" s="1049">
        <v>15.600161</v>
      </c>
      <c r="M36" s="1049">
        <v>4.3251799999999996</v>
      </c>
      <c r="N36" s="1049">
        <v>16.112319100000001</v>
      </c>
      <c r="O36" s="1050">
        <v>2.5327380000000002</v>
      </c>
      <c r="P36" s="1050">
        <v>10.172165100000001</v>
      </c>
      <c r="Q36" s="1048">
        <v>3.3737949999999999</v>
      </c>
      <c r="R36" s="1048">
        <v>14.595989899999999</v>
      </c>
      <c r="S36" s="792">
        <v>3.4285100000000002</v>
      </c>
      <c r="T36" s="1048">
        <v>17.554392100000001</v>
      </c>
      <c r="U36" s="1438" t="s">
        <v>2107</v>
      </c>
      <c r="X36" s="1047"/>
      <c r="Y36" s="1047"/>
    </row>
    <row r="37" spans="1:28" ht="16.5" customHeight="1">
      <c r="A37" s="1437" t="s">
        <v>2106</v>
      </c>
      <c r="B37" s="792" t="s">
        <v>2077</v>
      </c>
      <c r="C37" s="1049" t="s">
        <v>47</v>
      </c>
      <c r="D37" s="1049">
        <v>1785.23</v>
      </c>
      <c r="E37" s="1049" t="s">
        <v>47</v>
      </c>
      <c r="F37" s="1049">
        <v>1811.12</v>
      </c>
      <c r="G37" s="1049" t="s">
        <v>47</v>
      </c>
      <c r="H37" s="1049">
        <v>2115.8200000000002</v>
      </c>
      <c r="I37" s="1049" t="s">
        <v>47</v>
      </c>
      <c r="J37" s="1049">
        <v>2249.73</v>
      </c>
      <c r="K37" s="1049"/>
      <c r="L37" s="1049">
        <v>2560.2029527</v>
      </c>
      <c r="M37" s="1049"/>
      <c r="N37" s="1049">
        <v>2635.8510590000001</v>
      </c>
      <c r="O37" s="1048"/>
      <c r="P37" s="1050">
        <v>2266.4812315999998</v>
      </c>
      <c r="Q37" s="1048">
        <v>0</v>
      </c>
      <c r="R37" s="1048">
        <v>3403.2272415000002</v>
      </c>
      <c r="S37" s="792">
        <v>0</v>
      </c>
      <c r="T37" s="1048">
        <v>3286.583846</v>
      </c>
      <c r="U37" s="1438" t="s">
        <v>2105</v>
      </c>
      <c r="X37" s="1047"/>
      <c r="Y37" s="1047"/>
    </row>
    <row r="38" spans="1:28" ht="16.5" customHeight="1">
      <c r="A38" s="1437" t="s">
        <v>2104</v>
      </c>
      <c r="B38" s="792" t="s">
        <v>2077</v>
      </c>
      <c r="C38" s="1049">
        <v>0</v>
      </c>
      <c r="D38" s="1049">
        <v>0</v>
      </c>
      <c r="E38" s="1049">
        <v>0</v>
      </c>
      <c r="F38" s="1049">
        <v>0</v>
      </c>
      <c r="G38" s="1049">
        <v>0</v>
      </c>
      <c r="H38" s="1049">
        <v>0</v>
      </c>
      <c r="I38" s="1049">
        <v>0</v>
      </c>
      <c r="J38" s="1049">
        <v>0</v>
      </c>
      <c r="K38" s="1049">
        <v>0</v>
      </c>
      <c r="L38" s="1049">
        <v>0</v>
      </c>
      <c r="M38" s="1049">
        <v>0</v>
      </c>
      <c r="N38" s="1049">
        <v>0</v>
      </c>
      <c r="O38" s="1050">
        <v>1.4E-2</v>
      </c>
      <c r="P38" s="1050">
        <v>0.49084879999999997</v>
      </c>
      <c r="Q38" s="1048">
        <v>1.536E-3</v>
      </c>
      <c r="R38" s="1048">
        <v>0.22100549999999999</v>
      </c>
      <c r="S38" s="792">
        <v>1.75E-4</v>
      </c>
      <c r="T38" s="1048">
        <v>12.948984599999999</v>
      </c>
      <c r="U38" s="1438" t="s">
        <v>2103</v>
      </c>
      <c r="X38" s="1047"/>
      <c r="Y38" s="1047"/>
    </row>
    <row r="39" spans="1:28" ht="16.5" customHeight="1">
      <c r="A39" s="1437" t="s">
        <v>2102</v>
      </c>
      <c r="B39" s="792" t="s">
        <v>2077</v>
      </c>
      <c r="C39" s="1049">
        <v>0</v>
      </c>
      <c r="D39" s="1049">
        <v>0</v>
      </c>
      <c r="E39" s="1049">
        <v>0</v>
      </c>
      <c r="F39" s="1049">
        <v>0</v>
      </c>
      <c r="G39" s="1049">
        <v>0</v>
      </c>
      <c r="H39" s="1049">
        <v>0</v>
      </c>
      <c r="I39" s="1049">
        <v>0</v>
      </c>
      <c r="J39" s="1049">
        <v>0</v>
      </c>
      <c r="K39" s="1049">
        <v>0</v>
      </c>
      <c r="L39" s="1049">
        <v>0</v>
      </c>
      <c r="M39" s="1049">
        <v>0</v>
      </c>
      <c r="N39" s="1049">
        <v>0</v>
      </c>
      <c r="O39" s="1048">
        <v>0</v>
      </c>
      <c r="P39" s="1048">
        <v>0</v>
      </c>
      <c r="Q39" s="1048">
        <v>0</v>
      </c>
      <c r="R39" s="1048">
        <v>0</v>
      </c>
      <c r="S39" s="1048"/>
      <c r="T39" s="1048"/>
      <c r="U39" s="1438" t="s">
        <v>2101</v>
      </c>
      <c r="Z39" s="1051"/>
    </row>
    <row r="40" spans="1:28" ht="16.5" customHeight="1">
      <c r="A40" s="1437" t="s">
        <v>2100</v>
      </c>
      <c r="B40" s="792" t="s">
        <v>2077</v>
      </c>
      <c r="C40" s="1049">
        <v>0.09</v>
      </c>
      <c r="D40" s="1049">
        <v>8.73</v>
      </c>
      <c r="E40" s="1049">
        <v>0.05</v>
      </c>
      <c r="F40" s="1049">
        <v>4.8</v>
      </c>
      <c r="G40" s="1049">
        <v>0.13</v>
      </c>
      <c r="H40" s="1049">
        <v>8.5</v>
      </c>
      <c r="I40" s="1049">
        <v>0.22</v>
      </c>
      <c r="J40" s="1049">
        <v>13.36</v>
      </c>
      <c r="K40" s="1049">
        <v>0.11600000000000001</v>
      </c>
      <c r="L40" s="1049">
        <v>10.834747699999999</v>
      </c>
      <c r="M40" s="1049">
        <v>0.161</v>
      </c>
      <c r="N40" s="1049">
        <v>13.2129893</v>
      </c>
      <c r="O40" s="1050">
        <v>1.2E-2</v>
      </c>
      <c r="P40" s="1050">
        <v>0.94288090000000002</v>
      </c>
      <c r="Q40" s="1048">
        <v>5.3999999999999998E-5</v>
      </c>
      <c r="R40" s="1048">
        <v>4.9243436999999997</v>
      </c>
      <c r="S40" s="1050"/>
      <c r="T40" s="1050"/>
      <c r="U40" s="1438" t="s">
        <v>2099</v>
      </c>
    </row>
    <row r="41" spans="1:28" ht="16.5" customHeight="1">
      <c r="A41" s="1437" t="s">
        <v>2098</v>
      </c>
      <c r="B41" s="792" t="s">
        <v>2077</v>
      </c>
      <c r="C41" s="1049">
        <v>0.47</v>
      </c>
      <c r="D41" s="1049">
        <v>19.5</v>
      </c>
      <c r="E41" s="1049">
        <v>0.5</v>
      </c>
      <c r="F41" s="1049">
        <v>17.18</v>
      </c>
      <c r="G41" s="1049">
        <v>0.59</v>
      </c>
      <c r="H41" s="1049">
        <v>19.03</v>
      </c>
      <c r="I41" s="1049">
        <v>0.78</v>
      </c>
      <c r="J41" s="1049">
        <v>27.8</v>
      </c>
      <c r="K41" s="1049">
        <v>0.875</v>
      </c>
      <c r="L41" s="1049">
        <v>30.652791300000001</v>
      </c>
      <c r="M41" s="1049">
        <v>0.94599999999999995</v>
      </c>
      <c r="N41" s="1049">
        <v>32.821348899999997</v>
      </c>
      <c r="O41" s="1050">
        <v>0.497</v>
      </c>
      <c r="P41" s="1050">
        <v>17.497403200000001</v>
      </c>
      <c r="Q41" s="1048">
        <v>9.1E-4</v>
      </c>
      <c r="R41" s="1048">
        <v>34.580895300000002</v>
      </c>
      <c r="S41" s="792">
        <v>7.9900000000000001E-4</v>
      </c>
      <c r="T41" s="1048">
        <v>33.189836700000001</v>
      </c>
      <c r="U41" s="1438" t="s">
        <v>2097</v>
      </c>
      <c r="X41" s="1047"/>
      <c r="Y41" s="1047"/>
    </row>
    <row r="42" spans="1:28" ht="16.5" customHeight="1">
      <c r="A42" s="1437" t="s">
        <v>2096</v>
      </c>
      <c r="B42" s="792" t="s">
        <v>2077</v>
      </c>
      <c r="C42" s="1049">
        <v>0.17</v>
      </c>
      <c r="D42" s="1049">
        <v>5.17</v>
      </c>
      <c r="E42" s="1049">
        <v>7.0000000000000007E-2</v>
      </c>
      <c r="F42" s="1049">
        <v>2.75</v>
      </c>
      <c r="G42" s="1049">
        <v>0.13</v>
      </c>
      <c r="H42" s="1049">
        <v>4.47</v>
      </c>
      <c r="I42" s="1049">
        <v>0.1</v>
      </c>
      <c r="J42" s="1049">
        <v>3.22</v>
      </c>
      <c r="K42" s="1049">
        <v>0.11799999999999999</v>
      </c>
      <c r="L42" s="1049">
        <v>4.1404750999999997</v>
      </c>
      <c r="M42" s="1049">
        <v>0.122</v>
      </c>
      <c r="N42" s="1049">
        <v>4.5210476000000002</v>
      </c>
      <c r="O42" s="1050">
        <v>0.13500000000000001</v>
      </c>
      <c r="P42" s="1050">
        <v>5.1186274999999997</v>
      </c>
      <c r="Q42" s="1048">
        <v>1.73E-4</v>
      </c>
      <c r="R42" s="1048">
        <v>5.5578551999999997</v>
      </c>
      <c r="S42" s="792">
        <v>4.3000000000000002E-5</v>
      </c>
      <c r="T42" s="1048">
        <v>2.5321341999999998</v>
      </c>
      <c r="U42" s="1438" t="s">
        <v>2095</v>
      </c>
      <c r="X42" s="1047"/>
      <c r="Y42" s="1047"/>
    </row>
    <row r="43" spans="1:28" ht="16.5" customHeight="1">
      <c r="A43" s="1437" t="s">
        <v>2094</v>
      </c>
      <c r="B43" s="792" t="s">
        <v>2077</v>
      </c>
      <c r="C43" s="1049">
        <v>43.84</v>
      </c>
      <c r="D43" s="1049">
        <v>375.01</v>
      </c>
      <c r="E43" s="1049">
        <v>18.3</v>
      </c>
      <c r="F43" s="1049">
        <v>371.58</v>
      </c>
      <c r="G43" s="1049">
        <v>16.91</v>
      </c>
      <c r="H43" s="1049">
        <v>254.84</v>
      </c>
      <c r="I43" s="1049">
        <v>23.39</v>
      </c>
      <c r="J43" s="1049">
        <v>312.58999999999997</v>
      </c>
      <c r="K43" s="1049">
        <v>13.643198999999999</v>
      </c>
      <c r="L43" s="1049">
        <v>254.12473589999999</v>
      </c>
      <c r="M43" s="1049">
        <v>20.423829999999999</v>
      </c>
      <c r="N43" s="1049">
        <v>371.68062170000002</v>
      </c>
      <c r="O43" s="1050">
        <v>18.534302</v>
      </c>
      <c r="P43" s="1050">
        <v>364.5058952</v>
      </c>
      <c r="Q43" s="1048">
        <v>14.573921</v>
      </c>
      <c r="R43" s="1048">
        <v>354.89689980000003</v>
      </c>
      <c r="S43" s="792">
        <v>13.583907999999999</v>
      </c>
      <c r="T43" s="792">
        <v>379.20737609999998</v>
      </c>
      <c r="U43" s="1438" t="s">
        <v>2093</v>
      </c>
      <c r="X43" s="1047"/>
      <c r="Y43" s="1047"/>
    </row>
    <row r="44" spans="1:28" ht="16.5" customHeight="1">
      <c r="A44" s="1437" t="s">
        <v>2092</v>
      </c>
      <c r="B44" s="792" t="s">
        <v>2077</v>
      </c>
      <c r="C44" s="1049" t="s">
        <v>47</v>
      </c>
      <c r="D44" s="1049">
        <v>38.22</v>
      </c>
      <c r="E44" s="1049" t="s">
        <v>47</v>
      </c>
      <c r="F44" s="1049">
        <v>26.42</v>
      </c>
      <c r="G44" s="1049" t="s">
        <v>47</v>
      </c>
      <c r="H44" s="1049">
        <v>29.46</v>
      </c>
      <c r="I44" s="1049" t="s">
        <v>47</v>
      </c>
      <c r="J44" s="1049">
        <v>26.87</v>
      </c>
      <c r="K44" s="1049"/>
      <c r="L44" s="1049">
        <v>41.799578599999997</v>
      </c>
      <c r="M44" s="1049"/>
      <c r="N44" s="1049">
        <v>40.440658399999997</v>
      </c>
      <c r="O44" s="1048"/>
      <c r="P44" s="1050">
        <v>25.747699900000001</v>
      </c>
      <c r="Q44" s="1048">
        <v>0</v>
      </c>
      <c r="R44" s="1048">
        <v>39.8566498</v>
      </c>
      <c r="S44" s="792">
        <v>0</v>
      </c>
      <c r="T44" s="792">
        <v>41.382495200000001</v>
      </c>
      <c r="U44" s="1438" t="s">
        <v>2091</v>
      </c>
      <c r="X44" s="1047"/>
      <c r="Y44" s="1047"/>
    </row>
    <row r="45" spans="1:28" ht="16.5" customHeight="1">
      <c r="A45" s="1437" t="s">
        <v>2090</v>
      </c>
      <c r="B45" s="792" t="s">
        <v>2077</v>
      </c>
      <c r="C45" s="1049">
        <v>4.82</v>
      </c>
      <c r="D45" s="1049">
        <v>113.37</v>
      </c>
      <c r="E45" s="1049">
        <v>4.7699999999999996</v>
      </c>
      <c r="F45" s="1049">
        <v>114.4</v>
      </c>
      <c r="G45" s="1049">
        <v>5.57</v>
      </c>
      <c r="H45" s="1049">
        <v>133.81</v>
      </c>
      <c r="I45" s="1049">
        <v>6.24</v>
      </c>
      <c r="J45" s="1049">
        <v>136.46</v>
      </c>
      <c r="K45" s="1049">
        <v>6.3744750000000003</v>
      </c>
      <c r="L45" s="1049">
        <v>174.094809</v>
      </c>
      <c r="M45" s="1049">
        <v>7.1972880000000004</v>
      </c>
      <c r="N45" s="1049">
        <v>229.64112890000001</v>
      </c>
      <c r="O45" s="1050">
        <v>3.9592100000000001</v>
      </c>
      <c r="P45" s="1050">
        <v>160.37517690000001</v>
      </c>
      <c r="Q45" s="1048">
        <v>6.2358760000000002</v>
      </c>
      <c r="R45" s="1048">
        <v>258.5310844</v>
      </c>
      <c r="S45" s="792">
        <v>7.2725900000000001</v>
      </c>
      <c r="T45" s="1048">
        <v>226.70100669999999</v>
      </c>
      <c r="U45" s="1438" t="s">
        <v>2089</v>
      </c>
      <c r="X45" s="1047"/>
      <c r="Y45" s="1047"/>
    </row>
    <row r="46" spans="1:28" ht="16.5" customHeight="1">
      <c r="A46" s="1437" t="s">
        <v>2088</v>
      </c>
      <c r="B46" s="792" t="s">
        <v>2077</v>
      </c>
      <c r="C46" s="1049" t="s">
        <v>47</v>
      </c>
      <c r="D46" s="1049">
        <v>2508.66</v>
      </c>
      <c r="E46" s="1049" t="s">
        <v>47</v>
      </c>
      <c r="F46" s="1049">
        <v>2935.85</v>
      </c>
      <c r="G46" s="1049" t="s">
        <v>47</v>
      </c>
      <c r="H46" s="1049">
        <v>3590.33</v>
      </c>
      <c r="I46" s="1049" t="s">
        <v>47</v>
      </c>
      <c r="J46" s="1049">
        <v>3876.14</v>
      </c>
      <c r="K46" s="1049">
        <v>5879.5873000000001</v>
      </c>
      <c r="L46" s="1049">
        <v>4678.7213122000003</v>
      </c>
      <c r="M46" s="1049">
        <v>5767.6438500000004</v>
      </c>
      <c r="N46" s="1049">
        <v>4643.5153576000002</v>
      </c>
      <c r="O46" s="1050">
        <v>6458.0347099999999</v>
      </c>
      <c r="P46" s="1050">
        <v>4036.5963741</v>
      </c>
      <c r="Q46" s="1048">
        <v>563.77091900000005</v>
      </c>
      <c r="R46" s="1048">
        <v>5181.5710711000002</v>
      </c>
      <c r="S46" s="792">
        <v>290.46164800000003</v>
      </c>
      <c r="T46" s="1048">
        <v>5457.7473419999997</v>
      </c>
      <c r="U46" s="1438" t="s">
        <v>2087</v>
      </c>
      <c r="X46" s="1047"/>
      <c r="Y46" s="1047"/>
    </row>
    <row r="47" spans="1:28" ht="16.5" customHeight="1">
      <c r="A47" s="1437" t="s">
        <v>2086</v>
      </c>
      <c r="B47" s="792" t="s">
        <v>2077</v>
      </c>
      <c r="C47" s="1049">
        <v>27.72</v>
      </c>
      <c r="D47" s="1049">
        <v>453.9</v>
      </c>
      <c r="E47" s="1049">
        <v>50.35</v>
      </c>
      <c r="F47" s="1049">
        <v>639.77</v>
      </c>
      <c r="G47" s="1049">
        <v>52.02</v>
      </c>
      <c r="H47" s="1049">
        <v>633.39</v>
      </c>
      <c r="I47" s="1049">
        <v>44.71</v>
      </c>
      <c r="J47" s="1049">
        <v>793.3</v>
      </c>
      <c r="K47" s="1049">
        <v>56.933362000000002</v>
      </c>
      <c r="L47" s="1049">
        <v>1088.1287890999999</v>
      </c>
      <c r="M47" s="1049">
        <v>72.405679000000006</v>
      </c>
      <c r="N47" s="1049">
        <v>1290.1694130000001</v>
      </c>
      <c r="O47" s="1050">
        <v>101.42467000000001</v>
      </c>
      <c r="P47" s="1050">
        <v>1668.8546200000001</v>
      </c>
      <c r="Q47" s="1048">
        <v>76.618461999999994</v>
      </c>
      <c r="R47" s="1048">
        <v>1667.6857935999999</v>
      </c>
      <c r="S47" s="792">
        <v>54.108553000000001</v>
      </c>
      <c r="T47" s="1048">
        <v>1701.4114523000001</v>
      </c>
      <c r="U47" s="1438" t="s">
        <v>2085</v>
      </c>
      <c r="X47" s="1047"/>
      <c r="Y47" s="1047"/>
      <c r="Z47" s="844"/>
      <c r="AA47" s="844"/>
      <c r="AB47" s="844"/>
    </row>
    <row r="48" spans="1:28" ht="16.5" customHeight="1">
      <c r="A48" s="1437" t="s">
        <v>2084</v>
      </c>
      <c r="B48" s="792" t="s">
        <v>2077</v>
      </c>
      <c r="C48" s="1049">
        <v>23.48</v>
      </c>
      <c r="D48" s="1049">
        <v>352.58</v>
      </c>
      <c r="E48" s="1049">
        <v>11.67</v>
      </c>
      <c r="F48" s="1049">
        <v>354.35</v>
      </c>
      <c r="G48" s="1049">
        <v>11.36</v>
      </c>
      <c r="H48" s="1049">
        <v>358.87</v>
      </c>
      <c r="I48" s="1049">
        <v>13.64</v>
      </c>
      <c r="J48" s="1049">
        <v>392.72</v>
      </c>
      <c r="K48" s="1049">
        <v>20.142569000000002</v>
      </c>
      <c r="L48" s="1049">
        <v>510.22533920000001</v>
      </c>
      <c r="M48" s="1049">
        <v>41.213827000000002</v>
      </c>
      <c r="N48" s="1049">
        <v>598.4911386</v>
      </c>
      <c r="O48" s="1050">
        <v>76.349615999999997</v>
      </c>
      <c r="P48" s="1050">
        <v>797.04331790000003</v>
      </c>
      <c r="Q48" s="1048">
        <v>53.747093</v>
      </c>
      <c r="R48" s="1048">
        <v>827.57653889999995</v>
      </c>
      <c r="S48" s="792">
        <v>54.148933999999997</v>
      </c>
      <c r="T48" s="1048">
        <v>771.73217899999997</v>
      </c>
      <c r="U48" s="1438" t="s">
        <v>2083</v>
      </c>
      <c r="X48" s="1047"/>
      <c r="Y48" s="1047"/>
      <c r="Z48" s="1043"/>
      <c r="AA48" s="1043"/>
      <c r="AB48" s="103"/>
    </row>
    <row r="49" spans="1:25" ht="16.5" customHeight="1">
      <c r="A49" s="1437" t="s">
        <v>2082</v>
      </c>
      <c r="B49" s="792" t="s">
        <v>2077</v>
      </c>
      <c r="C49" s="1049">
        <v>44</v>
      </c>
      <c r="D49" s="1049">
        <v>139.58000000000001</v>
      </c>
      <c r="E49" s="1049">
        <v>88.37</v>
      </c>
      <c r="F49" s="1049">
        <v>363.44</v>
      </c>
      <c r="G49" s="1049">
        <v>138.84</v>
      </c>
      <c r="H49" s="1049">
        <v>704.13</v>
      </c>
      <c r="I49" s="1049">
        <v>68.14</v>
      </c>
      <c r="J49" s="1049">
        <v>289.02</v>
      </c>
      <c r="K49" s="1049">
        <v>57.253</v>
      </c>
      <c r="L49" s="1049">
        <v>235.8602228</v>
      </c>
      <c r="M49" s="1049">
        <v>77.183000000000007</v>
      </c>
      <c r="N49" s="1049">
        <v>350.39139499999999</v>
      </c>
      <c r="O49" s="1050">
        <v>288.8</v>
      </c>
      <c r="P49" s="1050">
        <v>179.2840952</v>
      </c>
      <c r="Q49" s="1048">
        <v>6.2516000000000002E-2</v>
      </c>
      <c r="R49" s="1048">
        <v>449.40179769999997</v>
      </c>
      <c r="S49" s="792">
        <v>9.9576999999999999E-2</v>
      </c>
      <c r="T49" s="1048">
        <v>704.30931620000001</v>
      </c>
      <c r="U49" s="1438" t="s">
        <v>2081</v>
      </c>
      <c r="X49" s="1047"/>
      <c r="Y49" s="1047"/>
    </row>
    <row r="50" spans="1:25" ht="16.5" customHeight="1">
      <c r="A50" s="1437" t="s">
        <v>2080</v>
      </c>
      <c r="B50" s="792" t="s">
        <v>2077</v>
      </c>
      <c r="C50" s="1049" t="s">
        <v>47</v>
      </c>
      <c r="D50" s="1049">
        <v>177.79</v>
      </c>
      <c r="E50" s="1049" t="s">
        <v>47</v>
      </c>
      <c r="F50" s="1049">
        <v>181.41</v>
      </c>
      <c r="G50" s="1049" t="s">
        <v>47</v>
      </c>
      <c r="H50" s="1049">
        <v>57.45</v>
      </c>
      <c r="I50" s="1049" t="s">
        <v>47</v>
      </c>
      <c r="J50" s="1049">
        <v>122.38</v>
      </c>
      <c r="K50" s="1049"/>
      <c r="L50" s="1049">
        <v>184.4042086</v>
      </c>
      <c r="M50" s="1049"/>
      <c r="N50" s="1049">
        <v>237.83437420000001</v>
      </c>
      <c r="O50" s="1048"/>
      <c r="P50" s="1050">
        <v>267.10979459999999</v>
      </c>
      <c r="Q50" s="1048">
        <v>0</v>
      </c>
      <c r="R50" s="1048">
        <v>363.44858210000001</v>
      </c>
      <c r="S50" s="792">
        <v>0</v>
      </c>
      <c r="T50" s="1048">
        <v>278.17439309999997</v>
      </c>
      <c r="U50" s="1438" t="s">
        <v>2079</v>
      </c>
      <c r="X50" s="1047"/>
      <c r="Y50" s="1047"/>
    </row>
    <row r="51" spans="1:25" ht="34.5" customHeight="1">
      <c r="A51" s="1440" t="s">
        <v>2078</v>
      </c>
      <c r="B51" s="792" t="s">
        <v>2077</v>
      </c>
      <c r="C51" s="1049">
        <v>289.39</v>
      </c>
      <c r="D51" s="1049">
        <v>3101.92</v>
      </c>
      <c r="E51" s="1049">
        <v>233.14</v>
      </c>
      <c r="F51" s="1049">
        <v>2566.21</v>
      </c>
      <c r="G51" s="1049">
        <v>499.62</v>
      </c>
      <c r="H51" s="1049">
        <v>6338.92</v>
      </c>
      <c r="I51" s="1049">
        <v>469.13</v>
      </c>
      <c r="J51" s="1049">
        <v>6306.77</v>
      </c>
      <c r="K51" s="113">
        <v>299.27300000000002</v>
      </c>
      <c r="L51" s="113">
        <v>4383.4001507000003</v>
      </c>
      <c r="M51" s="113">
        <v>744.32600000000002</v>
      </c>
      <c r="N51" s="113">
        <v>9371.2140555000005</v>
      </c>
      <c r="O51" s="119">
        <v>231.35900000000001</v>
      </c>
      <c r="P51" s="119">
        <v>2861.1940304</v>
      </c>
      <c r="Q51" s="1048">
        <v>0.22426199999999999</v>
      </c>
      <c r="R51" s="1048">
        <v>4169.4528262000003</v>
      </c>
      <c r="S51" s="792">
        <v>0.416937</v>
      </c>
      <c r="T51" s="1048">
        <v>10765.1353193</v>
      </c>
      <c r="U51" s="217" t="s">
        <v>2076</v>
      </c>
      <c r="X51" s="1047"/>
      <c r="Y51" s="1047"/>
    </row>
    <row r="52" spans="1:25" ht="16.5" customHeight="1">
      <c r="A52" s="1437" t="s">
        <v>2075</v>
      </c>
      <c r="B52" s="893"/>
      <c r="C52" s="1045" t="s">
        <v>47</v>
      </c>
      <c r="D52" s="1045">
        <f>SUM(D6:D51)</f>
        <v>121319.04999999994</v>
      </c>
      <c r="E52" s="1045" t="s">
        <v>47</v>
      </c>
      <c r="F52" s="1045">
        <v>140289.22</v>
      </c>
      <c r="G52" s="1045" t="s">
        <v>47</v>
      </c>
      <c r="H52" s="1045">
        <v>164726.82999999999</v>
      </c>
      <c r="I52" s="1045" t="s">
        <v>47</v>
      </c>
      <c r="J52" s="1045">
        <v>152095.20000000001</v>
      </c>
      <c r="K52" s="1045"/>
      <c r="L52" s="1045">
        <f>SUM(L6:L51)</f>
        <v>137019.45841679999</v>
      </c>
      <c r="M52" s="1045"/>
      <c r="N52" s="1045">
        <f>SUM(N6:N51)</f>
        <v>147445.81378389997</v>
      </c>
      <c r="O52" s="1045"/>
      <c r="P52" s="1045">
        <f>SUM(P6:P51)</f>
        <v>154510.71647969994</v>
      </c>
      <c r="Q52" s="1045"/>
      <c r="R52" s="1045">
        <f>SUM(R6:R51)</f>
        <v>231850.26679039994</v>
      </c>
      <c r="S52" s="1045"/>
      <c r="T52" s="1045">
        <f>SUM(T6:T51)</f>
        <v>237361.16476009999</v>
      </c>
      <c r="U52" s="1441" t="s">
        <v>2074</v>
      </c>
      <c r="V52" s="383"/>
      <c r="W52" s="1047"/>
      <c r="X52" s="1047"/>
    </row>
    <row r="53" spans="1:25" ht="16.5" customHeight="1">
      <c r="A53" s="1437" t="s">
        <v>2073</v>
      </c>
      <c r="B53" s="893"/>
      <c r="C53" s="1045" t="s">
        <v>47</v>
      </c>
      <c r="D53" s="1045">
        <v>2737086.58</v>
      </c>
      <c r="E53" s="1045" t="s">
        <v>47</v>
      </c>
      <c r="F53" s="1045">
        <v>2490305.54</v>
      </c>
      <c r="G53" s="1045" t="s">
        <v>47</v>
      </c>
      <c r="H53" s="1045">
        <v>2577675.37</v>
      </c>
      <c r="I53" s="1045" t="s">
        <v>47</v>
      </c>
      <c r="J53" s="1045">
        <v>3001033.4339999999</v>
      </c>
      <c r="K53" s="1045"/>
      <c r="L53" s="1045">
        <v>3594674.61</v>
      </c>
      <c r="M53" s="1045"/>
      <c r="N53" s="1045">
        <v>3360954.46</v>
      </c>
      <c r="O53" s="1046"/>
      <c r="P53" s="1045">
        <v>2915957.7004137002</v>
      </c>
      <c r="Q53" s="1046"/>
      <c r="R53" s="1045">
        <v>3276838.7717271</v>
      </c>
      <c r="S53" s="1045"/>
      <c r="T53" s="1045">
        <v>2986800</v>
      </c>
      <c r="U53" s="1441" t="s">
        <v>2072</v>
      </c>
      <c r="V53" s="6"/>
    </row>
    <row r="54" spans="1:25" ht="37.5" customHeight="1">
      <c r="A54" s="1440" t="s">
        <v>2071</v>
      </c>
      <c r="B54" s="30"/>
      <c r="C54" s="114" t="s">
        <v>47</v>
      </c>
      <c r="D54" s="114">
        <v>4.43</v>
      </c>
      <c r="E54" s="114" t="s">
        <v>47</v>
      </c>
      <c r="F54" s="114">
        <v>5.63</v>
      </c>
      <c r="G54" s="114" t="s">
        <v>47</v>
      </c>
      <c r="H54" s="114">
        <v>6.39</v>
      </c>
      <c r="I54" s="114" t="s">
        <v>47</v>
      </c>
      <c r="J54" s="114">
        <v>5.07</v>
      </c>
      <c r="K54" s="114"/>
      <c r="L54" s="114">
        <f>L52/L53*100</f>
        <v>3.8117346709386859</v>
      </c>
      <c r="M54" s="114"/>
      <c r="N54" s="114">
        <f>N52/N53*100</f>
        <v>4.3870220658657768</v>
      </c>
      <c r="O54" s="114"/>
      <c r="P54" s="114">
        <f>P52/P53*100</f>
        <v>5.2987982801595095</v>
      </c>
      <c r="Q54" s="114"/>
      <c r="R54" s="114">
        <f>R52/R53*100</f>
        <v>7.0754249122913144</v>
      </c>
      <c r="S54" s="114"/>
      <c r="T54" s="114">
        <f>T52/T53*100</f>
        <v>7.9470056501975348</v>
      </c>
      <c r="U54" s="1442" t="s">
        <v>2070</v>
      </c>
      <c r="V54" s="6"/>
    </row>
    <row r="55" spans="1:25" s="7" customFormat="1" ht="19.5" customHeight="1">
      <c r="A55" s="1166" t="s">
        <v>2069</v>
      </c>
      <c r="B55" s="33"/>
      <c r="C55" s="33"/>
      <c r="D55" s="33"/>
      <c r="E55" s="33"/>
      <c r="F55" s="33"/>
      <c r="G55" s="33"/>
      <c r="H55" s="33"/>
      <c r="I55" s="33"/>
      <c r="J55" s="33"/>
      <c r="K55" s="33"/>
      <c r="L55" s="33"/>
      <c r="M55" s="33"/>
      <c r="N55" s="33"/>
      <c r="O55" s="33"/>
      <c r="P55" s="33"/>
      <c r="Q55" s="33"/>
      <c r="R55" s="33"/>
      <c r="S55" s="33"/>
      <c r="T55" s="33"/>
      <c r="U55" s="1142"/>
      <c r="V55" s="380"/>
    </row>
    <row r="56" spans="1:25" s="7" customFormat="1" ht="19.5" customHeight="1">
      <c r="A56" s="1136" t="s">
        <v>2068</v>
      </c>
      <c r="K56" s="380"/>
      <c r="L56" s="380"/>
      <c r="M56" s="380"/>
      <c r="N56" s="380"/>
      <c r="O56" s="380"/>
      <c r="P56" s="380"/>
      <c r="Q56" s="380"/>
      <c r="R56" s="380"/>
      <c r="S56" s="380"/>
      <c r="T56" s="380"/>
      <c r="U56" s="1137"/>
    </row>
    <row r="57" spans="1:25" s="7" customFormat="1" ht="19.5" customHeight="1">
      <c r="A57" s="1136"/>
      <c r="U57" s="1137"/>
    </row>
    <row r="58" spans="1:25" ht="15.75" thickBot="1">
      <c r="A58" s="1044" t="s">
        <v>2067</v>
      </c>
      <c r="B58" s="206"/>
      <c r="C58" s="206"/>
      <c r="D58" s="206"/>
      <c r="E58" s="206"/>
      <c r="F58" s="206"/>
      <c r="G58" s="206"/>
      <c r="H58" s="206"/>
      <c r="I58" s="206"/>
      <c r="J58" s="206"/>
      <c r="K58" s="206"/>
      <c r="L58" s="206"/>
      <c r="M58" s="206"/>
      <c r="N58" s="206"/>
      <c r="O58" s="206"/>
      <c r="P58" s="206"/>
      <c r="Q58" s="206"/>
      <c r="R58" s="206"/>
      <c r="S58" s="206"/>
      <c r="T58" s="206"/>
      <c r="U58" s="168"/>
      <c r="Y58" s="210"/>
    </row>
    <row r="59" spans="1:25" ht="15.75" thickTop="1">
      <c r="P59" s="844"/>
      <c r="Q59" s="844"/>
      <c r="R59" s="844"/>
      <c r="S59" s="844"/>
      <c r="T59" s="844"/>
    </row>
    <row r="60" spans="1:25">
      <c r="P60" s="1043"/>
      <c r="Q60"/>
      <c r="R60"/>
      <c r="S60"/>
      <c r="T60"/>
    </row>
  </sheetData>
  <mergeCells count="14">
    <mergeCell ref="Q4:R4"/>
    <mergeCell ref="A2:U2"/>
    <mergeCell ref="S4:T4"/>
    <mergeCell ref="A1:U1"/>
    <mergeCell ref="A4:A5"/>
    <mergeCell ref="U4:U5"/>
    <mergeCell ref="B4:B5"/>
    <mergeCell ref="C4:D4"/>
    <mergeCell ref="E4:F4"/>
    <mergeCell ref="G4:H4"/>
    <mergeCell ref="I4:J4"/>
    <mergeCell ref="K4:L4"/>
    <mergeCell ref="M4:N4"/>
    <mergeCell ref="O4:P4"/>
  </mergeCells>
  <conditionalFormatting sqref="AC47:XFD48 Y4:XFD7 Z8:XFD46 Z49:XFD54 Y10:Y38 V4:V5 Y41:Y54 V52:V54">
    <cfRule type="expression" dxfId="28" priority="3">
      <formula>MOD(ROW(),3)=1</formula>
    </cfRule>
  </conditionalFormatting>
  <conditionalFormatting sqref="V4:V5 V52:V54">
    <cfRule type="expression" dxfId="27" priority="2">
      <formula>MOD(ROW(),3)=1</formula>
    </cfRule>
  </conditionalFormatting>
  <conditionalFormatting sqref="A6:U54">
    <cfRule type="expression" dxfId="26" priority="1">
      <formula>MOD(ROW(),3)=1</formula>
    </cfRule>
  </conditionalFormatting>
  <printOptions horizontalCentered="1"/>
  <pageMargins left="0.66929133858267698" right="0.15748031496063" top="0.55118110236220497" bottom="0.74803149606299202" header="0.31496062992126" footer="0.31496062992126"/>
  <pageSetup paperSize="9" scale="62" orientation="portrait" r:id="rId1"/>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B3799F-4C05-474F-8DEE-118898FB0F45}">
  <dimension ref="A1:W58"/>
  <sheetViews>
    <sheetView view="pageBreakPreview" zoomScale="98" zoomScaleSheetLayoutView="98" workbookViewId="0">
      <pane ySplit="1" topLeftCell="A5" activePane="bottomLeft" state="frozen"/>
      <selection activeCell="S17" sqref="S17"/>
      <selection pane="bottomLeft" activeCell="S17" sqref="S17"/>
    </sheetView>
  </sheetViews>
  <sheetFormatPr defaultColWidth="9.140625" defaultRowHeight="15"/>
  <cols>
    <col min="1" max="1" width="25.28515625" style="1" customWidth="1"/>
    <col min="2" max="2" width="6.85546875" style="1" hidden="1" customWidth="1"/>
    <col min="3" max="5" width="0" style="1" hidden="1" customWidth="1"/>
    <col min="6" max="6" width="10.28515625" style="1" hidden="1" customWidth="1"/>
    <col min="7" max="8" width="0" style="1" hidden="1" customWidth="1"/>
    <col min="9" max="9" width="9.28515625" style="1" hidden="1" customWidth="1"/>
    <col min="10" max="10" width="12.5703125" style="1" hidden="1" customWidth="1"/>
    <col min="11" max="11" width="9.28515625" style="1" hidden="1" customWidth="1"/>
    <col min="12" max="12" width="12.5703125" style="1" hidden="1" customWidth="1"/>
    <col min="13" max="13" width="11.5703125" style="1" hidden="1" customWidth="1"/>
    <col min="14" max="14" width="12.5703125" style="1" hidden="1" customWidth="1"/>
    <col min="15" max="16" width="12.5703125" style="1" bestFit="1" customWidth="1"/>
    <col min="17" max="17" width="12.5703125" style="1" customWidth="1"/>
    <col min="18" max="18" width="15.7109375" style="1" customWidth="1"/>
    <col min="19" max="19" width="12.5703125" style="1" customWidth="1"/>
    <col min="20" max="20" width="15" style="1" customWidth="1"/>
    <col min="21" max="21" width="26.7109375" style="1" customWidth="1"/>
    <col min="22" max="22" width="13.140625" style="1" customWidth="1"/>
    <col min="23" max="23" width="17.140625" style="1" customWidth="1"/>
    <col min="24" max="16384" width="9.140625" style="1"/>
  </cols>
  <sheetData>
    <row r="1" spans="1:23" s="7" customFormat="1" ht="23.25" customHeight="1" thickTop="1">
      <c r="A1" s="2220" t="s">
        <v>2803</v>
      </c>
      <c r="B1" s="1869"/>
      <c r="C1" s="1869"/>
      <c r="D1" s="1869"/>
      <c r="E1" s="1869"/>
      <c r="F1" s="1869"/>
      <c r="G1" s="1869"/>
      <c r="H1" s="1869"/>
      <c r="I1" s="1869"/>
      <c r="J1" s="1869"/>
      <c r="K1" s="1869"/>
      <c r="L1" s="1869"/>
      <c r="M1" s="1869"/>
      <c r="N1" s="1869"/>
      <c r="O1" s="1869"/>
      <c r="P1" s="1869"/>
      <c r="Q1" s="1869"/>
      <c r="R1" s="1869"/>
      <c r="S1" s="1869"/>
      <c r="T1" s="1869"/>
      <c r="U1" s="1870"/>
    </row>
    <row r="2" spans="1:23" s="7" customFormat="1" ht="23.25" customHeight="1">
      <c r="A2" s="2224" t="s">
        <v>2804</v>
      </c>
      <c r="B2" s="2193"/>
      <c r="C2" s="2193"/>
      <c r="D2" s="2193"/>
      <c r="E2" s="2193"/>
      <c r="F2" s="2193"/>
      <c r="G2" s="2193"/>
      <c r="H2" s="2193"/>
      <c r="I2" s="2193"/>
      <c r="J2" s="2193"/>
      <c r="K2" s="2193"/>
      <c r="L2" s="2193"/>
      <c r="M2" s="2193"/>
      <c r="N2" s="2193"/>
      <c r="O2" s="2193"/>
      <c r="P2" s="2193"/>
      <c r="Q2" s="2193"/>
      <c r="R2" s="2193"/>
      <c r="S2" s="2193"/>
      <c r="T2" s="2193"/>
      <c r="U2" s="2225"/>
    </row>
    <row r="3" spans="1:23" s="7" customFormat="1" ht="23.25" customHeight="1">
      <c r="A3" s="1140"/>
      <c r="B3" s="49"/>
      <c r="C3" s="49"/>
      <c r="D3" s="49"/>
      <c r="E3" s="49"/>
      <c r="F3" s="49"/>
      <c r="G3" s="49"/>
      <c r="H3" s="49"/>
      <c r="I3" s="49"/>
      <c r="J3" s="49"/>
      <c r="K3" s="49"/>
      <c r="L3" s="49"/>
      <c r="M3" s="49"/>
      <c r="N3" s="49"/>
      <c r="O3" s="49"/>
      <c r="P3" s="49"/>
      <c r="Q3" s="49"/>
      <c r="R3" s="49"/>
      <c r="S3" s="49"/>
      <c r="T3" s="49"/>
      <c r="U3" s="1141"/>
    </row>
    <row r="4" spans="1:23" s="87" customFormat="1" ht="19.5" customHeight="1">
      <c r="A4" s="1989" t="s">
        <v>2175</v>
      </c>
      <c r="B4" s="1929" t="s">
        <v>2174</v>
      </c>
      <c r="C4" s="1948" t="s">
        <v>41</v>
      </c>
      <c r="D4" s="1948"/>
      <c r="E4" s="1948" t="s">
        <v>42</v>
      </c>
      <c r="F4" s="1948"/>
      <c r="G4" s="1948" t="s">
        <v>129</v>
      </c>
      <c r="H4" s="1948"/>
      <c r="I4" s="1948" t="s">
        <v>142</v>
      </c>
      <c r="J4" s="1948"/>
      <c r="K4" s="1948" t="s">
        <v>276</v>
      </c>
      <c r="L4" s="1948"/>
      <c r="M4" s="1948" t="s">
        <v>522</v>
      </c>
      <c r="N4" s="1948"/>
      <c r="O4" s="1948" t="s">
        <v>1238</v>
      </c>
      <c r="P4" s="1948"/>
      <c r="Q4" s="1948" t="s">
        <v>803</v>
      </c>
      <c r="R4" s="1948"/>
      <c r="S4" s="1990" t="s">
        <v>1653</v>
      </c>
      <c r="T4" s="1992"/>
      <c r="U4" s="2286" t="s">
        <v>2186</v>
      </c>
    </row>
    <row r="5" spans="1:23" s="87" customFormat="1" ht="66.75" customHeight="1">
      <c r="A5" s="1989"/>
      <c r="B5" s="1948"/>
      <c r="C5" s="79" t="s">
        <v>2171</v>
      </c>
      <c r="D5" s="79" t="s">
        <v>2170</v>
      </c>
      <c r="E5" s="79" t="s">
        <v>2171</v>
      </c>
      <c r="F5" s="79" t="s">
        <v>2170</v>
      </c>
      <c r="G5" s="79" t="s">
        <v>2171</v>
      </c>
      <c r="H5" s="79" t="s">
        <v>2170</v>
      </c>
      <c r="I5" s="79" t="s">
        <v>2171</v>
      </c>
      <c r="J5" s="79" t="s">
        <v>2170</v>
      </c>
      <c r="K5" s="79" t="s">
        <v>2171</v>
      </c>
      <c r="L5" s="79" t="s">
        <v>2170</v>
      </c>
      <c r="M5" s="1143" t="s">
        <v>2169</v>
      </c>
      <c r="N5" s="1143" t="s">
        <v>2168</v>
      </c>
      <c r="O5" s="79" t="s">
        <v>2169</v>
      </c>
      <c r="P5" s="79" t="s">
        <v>2168</v>
      </c>
      <c r="Q5" s="79" t="s">
        <v>2169</v>
      </c>
      <c r="R5" s="79" t="s">
        <v>2168</v>
      </c>
      <c r="S5" s="79" t="s">
        <v>2169</v>
      </c>
      <c r="T5" s="79" t="s">
        <v>2168</v>
      </c>
      <c r="U5" s="2286"/>
    </row>
    <row r="6" spans="1:23">
      <c r="A6" s="1437" t="s">
        <v>2167</v>
      </c>
      <c r="B6" s="792" t="s">
        <v>2118</v>
      </c>
      <c r="C6" s="792">
        <v>234.39</v>
      </c>
      <c r="D6" s="792">
        <v>4171.25</v>
      </c>
      <c r="E6" s="792">
        <v>245.7</v>
      </c>
      <c r="F6" s="792">
        <v>4719</v>
      </c>
      <c r="G6" s="792">
        <v>243.43</v>
      </c>
      <c r="H6" s="792">
        <v>4905.6400000000003</v>
      </c>
      <c r="I6" s="1049">
        <v>272.89</v>
      </c>
      <c r="J6" s="1049">
        <v>5396.65</v>
      </c>
      <c r="K6" s="1049">
        <v>270.3064</v>
      </c>
      <c r="L6" s="1049">
        <v>5828.3383477999996</v>
      </c>
      <c r="M6" s="1049">
        <v>254.800659</v>
      </c>
      <c r="N6" s="1049">
        <v>5851.1078281</v>
      </c>
      <c r="O6" s="1050">
        <v>212.687659</v>
      </c>
      <c r="P6" s="1050">
        <v>5603.5016612999998</v>
      </c>
      <c r="Q6" s="1048">
        <v>208.61416299999999</v>
      </c>
      <c r="R6" s="1048">
        <v>5596.6747920999996</v>
      </c>
      <c r="S6" s="1050">
        <v>206.29665499999999</v>
      </c>
      <c r="T6" s="1050">
        <v>5629.5922796000004</v>
      </c>
      <c r="U6" s="1438" t="s">
        <v>2166</v>
      </c>
      <c r="V6" s="1047"/>
      <c r="W6" s="1850"/>
    </row>
    <row r="7" spans="1:23" ht="16.5" customHeight="1">
      <c r="A7" s="1437" t="s">
        <v>2165</v>
      </c>
      <c r="B7" s="792" t="s">
        <v>2118</v>
      </c>
      <c r="C7" s="792">
        <v>463.55</v>
      </c>
      <c r="D7" s="792">
        <v>4973.25</v>
      </c>
      <c r="E7" s="792">
        <v>255.74</v>
      </c>
      <c r="F7" s="792">
        <v>5125.45</v>
      </c>
      <c r="G7" s="792">
        <v>288.61</v>
      </c>
      <c r="H7" s="792">
        <v>5646.43</v>
      </c>
      <c r="I7" s="1049">
        <v>317.83</v>
      </c>
      <c r="J7" s="1049">
        <v>6245.36</v>
      </c>
      <c r="K7" s="1049">
        <v>282.83989800000001</v>
      </c>
      <c r="L7" s="1049">
        <v>5721.9754408999997</v>
      </c>
      <c r="M7" s="1049">
        <v>257.03244599999999</v>
      </c>
      <c r="N7" s="1049">
        <v>5236.7626481999996</v>
      </c>
      <c r="O7" s="1050">
        <v>245.20979700000001</v>
      </c>
      <c r="P7" s="1050">
        <v>5339.6466700999999</v>
      </c>
      <c r="Q7" s="1048">
        <v>333.09894000000003</v>
      </c>
      <c r="R7" s="1048">
        <v>7613.6208066999998</v>
      </c>
      <c r="S7" s="1050">
        <v>250.15391399999999</v>
      </c>
      <c r="T7" s="1050">
        <v>7251.4788165999998</v>
      </c>
      <c r="U7" s="1438" t="s">
        <v>2164</v>
      </c>
      <c r="V7" s="1047"/>
      <c r="W7" s="1850"/>
    </row>
    <row r="8" spans="1:23" ht="16.5" customHeight="1">
      <c r="A8" s="1437" t="s">
        <v>2163</v>
      </c>
      <c r="B8" s="792" t="s">
        <v>2118</v>
      </c>
      <c r="C8" s="792">
        <v>3698.93</v>
      </c>
      <c r="D8" s="792">
        <v>27586.71</v>
      </c>
      <c r="E8" s="792">
        <v>4045.83</v>
      </c>
      <c r="F8" s="792">
        <v>22718.6</v>
      </c>
      <c r="G8" s="792">
        <v>3985.21</v>
      </c>
      <c r="H8" s="792">
        <v>21512.91</v>
      </c>
      <c r="I8" s="1049">
        <v>4056.85</v>
      </c>
      <c r="J8" s="1049">
        <v>26870.67</v>
      </c>
      <c r="K8" s="1049">
        <v>4414.6120000000001</v>
      </c>
      <c r="L8" s="1049">
        <v>32804.301626499997</v>
      </c>
      <c r="M8" s="1049">
        <v>4454.7709999999997</v>
      </c>
      <c r="N8" s="1049">
        <v>31026.331963500001</v>
      </c>
      <c r="O8" s="1050">
        <v>4630.2089999999998</v>
      </c>
      <c r="P8" s="1050">
        <v>29847.7009277</v>
      </c>
      <c r="Q8" s="1048">
        <v>3.9437169999999999</v>
      </c>
      <c r="R8" s="1048">
        <v>26390.216272900001</v>
      </c>
      <c r="S8" s="1050">
        <v>3.6556340000000001</v>
      </c>
      <c r="T8" s="1050">
        <v>30513.8809019</v>
      </c>
      <c r="U8" s="1438" t="s">
        <v>2185</v>
      </c>
      <c r="V8" s="1047"/>
      <c r="W8" s="1850"/>
    </row>
    <row r="9" spans="1:23" ht="16.5" customHeight="1">
      <c r="A9" s="1437" t="s">
        <v>2161</v>
      </c>
      <c r="B9" s="792" t="s">
        <v>2118</v>
      </c>
      <c r="C9" s="792">
        <v>8302.2099999999991</v>
      </c>
      <c r="D9" s="792">
        <v>20441.55</v>
      </c>
      <c r="E9" s="792">
        <v>6464.59</v>
      </c>
      <c r="F9" s="792">
        <v>15483.39</v>
      </c>
      <c r="G9" s="792">
        <v>6770.83</v>
      </c>
      <c r="H9" s="792">
        <v>16929.88</v>
      </c>
      <c r="I9" s="1049">
        <v>8818.5300000000007</v>
      </c>
      <c r="J9" s="1049">
        <v>23437.23</v>
      </c>
      <c r="K9" s="1049">
        <v>7647.9979999999996</v>
      </c>
      <c r="L9" s="1049">
        <v>21171.165865200001</v>
      </c>
      <c r="M9" s="1049">
        <v>5056.2780000000002</v>
      </c>
      <c r="N9" s="1049">
        <v>14400.3241746</v>
      </c>
      <c r="O9" s="1050">
        <v>13149.206</v>
      </c>
      <c r="P9" s="1048">
        <v>35557.031494199997</v>
      </c>
      <c r="Q9" s="1048">
        <v>17.288961</v>
      </c>
      <c r="R9" s="1048">
        <v>45725.422319400001</v>
      </c>
      <c r="S9" s="1050">
        <v>14.562951</v>
      </c>
      <c r="T9" s="1050">
        <v>41272.891621800001</v>
      </c>
      <c r="U9" s="1438" t="s">
        <v>2184</v>
      </c>
      <c r="V9" s="1047"/>
      <c r="W9" s="1850"/>
    </row>
    <row r="10" spans="1:23" ht="16.5" customHeight="1">
      <c r="A10" s="1437" t="s">
        <v>2159</v>
      </c>
      <c r="B10" s="792" t="s">
        <v>2118</v>
      </c>
      <c r="C10" s="792">
        <v>2924.05</v>
      </c>
      <c r="D10" s="792">
        <v>4991.8100000000004</v>
      </c>
      <c r="E10" s="792">
        <v>666.68</v>
      </c>
      <c r="F10" s="792">
        <v>1061.77</v>
      </c>
      <c r="G10" s="792">
        <v>265.61</v>
      </c>
      <c r="H10" s="792">
        <v>447.85</v>
      </c>
      <c r="I10" s="1049">
        <v>322.79000000000002</v>
      </c>
      <c r="J10" s="1049">
        <v>624.37</v>
      </c>
      <c r="K10" s="1049">
        <v>226.62799999999999</v>
      </c>
      <c r="L10" s="1049">
        <v>424.4700618</v>
      </c>
      <c r="M10" s="1049">
        <v>219.69</v>
      </c>
      <c r="N10" s="1049">
        <v>444.198305</v>
      </c>
      <c r="O10" s="1062">
        <v>2154.973</v>
      </c>
      <c r="P10" s="1062">
        <v>4173.0795105999996</v>
      </c>
      <c r="Q10" s="1048">
        <v>7.2448420000000002</v>
      </c>
      <c r="R10" s="1048">
        <v>15845.451414700001</v>
      </c>
      <c r="S10" s="1050">
        <v>4.6568649999999998</v>
      </c>
      <c r="T10" s="1050">
        <v>11728.363989400001</v>
      </c>
      <c r="U10" s="1438" t="s">
        <v>1724</v>
      </c>
      <c r="V10" s="1047"/>
      <c r="W10" s="1850"/>
    </row>
    <row r="11" spans="1:23" ht="16.5" customHeight="1">
      <c r="A11" s="1437" t="s">
        <v>2158</v>
      </c>
      <c r="B11" s="792" t="s">
        <v>2118</v>
      </c>
      <c r="C11" s="792">
        <v>3515.35</v>
      </c>
      <c r="D11" s="792">
        <v>5262.16</v>
      </c>
      <c r="E11" s="792">
        <v>967.93</v>
      </c>
      <c r="F11" s="792">
        <v>1702.5</v>
      </c>
      <c r="G11" s="792">
        <v>734.77</v>
      </c>
      <c r="H11" s="792">
        <v>1425.77</v>
      </c>
      <c r="I11" s="1049">
        <v>864.24</v>
      </c>
      <c r="J11" s="1049">
        <v>1604.28</v>
      </c>
      <c r="K11" s="1049">
        <v>1257.2439999999999</v>
      </c>
      <c r="L11" s="1049">
        <v>2426.0725748999998</v>
      </c>
      <c r="M11" s="1049">
        <v>501.11799999999999</v>
      </c>
      <c r="N11" s="1049">
        <v>1454.7118315</v>
      </c>
      <c r="O11" s="1050">
        <v>3075.6610000000001</v>
      </c>
      <c r="P11" s="1050">
        <v>5198.4158375999996</v>
      </c>
      <c r="Q11" s="1048">
        <v>3.8593579999999998</v>
      </c>
      <c r="R11" s="1048">
        <v>8109.4528678999995</v>
      </c>
      <c r="S11" s="1050">
        <v>3.0057320000000001</v>
      </c>
      <c r="T11" s="1050">
        <v>7960.9495313999996</v>
      </c>
      <c r="U11" s="1438" t="s">
        <v>2183</v>
      </c>
      <c r="V11" s="1047"/>
      <c r="W11" s="1850"/>
    </row>
    <row r="12" spans="1:23" ht="16.5" customHeight="1">
      <c r="A12" s="1437" t="s">
        <v>2156</v>
      </c>
      <c r="B12" s="792" t="s">
        <v>2118</v>
      </c>
      <c r="C12" s="792">
        <v>222.14</v>
      </c>
      <c r="D12" s="792">
        <v>1218.31</v>
      </c>
      <c r="E12" s="792">
        <v>255.72</v>
      </c>
      <c r="F12" s="792">
        <v>1655.9</v>
      </c>
      <c r="G12" s="792">
        <v>136.72</v>
      </c>
      <c r="H12" s="792">
        <v>1277.7</v>
      </c>
      <c r="I12" s="1049">
        <v>179.6</v>
      </c>
      <c r="J12" s="1049">
        <v>1469.63</v>
      </c>
      <c r="K12" s="1049">
        <v>287.13099999999997</v>
      </c>
      <c r="L12" s="1049">
        <v>1801.51197</v>
      </c>
      <c r="M12" s="1049">
        <v>232.08099999999999</v>
      </c>
      <c r="N12" s="1049">
        <v>1511.799634</v>
      </c>
      <c r="O12" s="1050">
        <v>276.92700000000002</v>
      </c>
      <c r="P12" s="1050">
        <v>1977.6266814999999</v>
      </c>
      <c r="Q12" s="1048">
        <v>0.387208</v>
      </c>
      <c r="R12" s="1048">
        <v>2682.9044187</v>
      </c>
      <c r="S12" s="1050">
        <v>0.53976299999999999</v>
      </c>
      <c r="T12" s="1050">
        <v>3783.7772644000001</v>
      </c>
      <c r="U12" s="1438" t="s">
        <v>2155</v>
      </c>
      <c r="V12" s="1047"/>
      <c r="W12" s="1850"/>
    </row>
    <row r="13" spans="1:23" ht="16.5" customHeight="1">
      <c r="A13" s="1437" t="s">
        <v>2154</v>
      </c>
      <c r="B13" s="792" t="s">
        <v>2118</v>
      </c>
      <c r="C13" s="792">
        <v>219.57</v>
      </c>
      <c r="D13" s="792">
        <v>4162.71</v>
      </c>
      <c r="E13" s="792">
        <v>215.32</v>
      </c>
      <c r="F13" s="792">
        <v>4373.45</v>
      </c>
      <c r="G13" s="792">
        <v>204.45</v>
      </c>
      <c r="H13" s="792">
        <v>4249.8500000000004</v>
      </c>
      <c r="I13" s="1049">
        <v>185.36</v>
      </c>
      <c r="J13" s="1049">
        <v>3828.13</v>
      </c>
      <c r="K13" s="1049">
        <v>189.554213</v>
      </c>
      <c r="L13" s="1049">
        <v>3984.5332586</v>
      </c>
      <c r="M13" s="1049">
        <v>181.84150099999999</v>
      </c>
      <c r="N13" s="1049">
        <v>3761.3712102999998</v>
      </c>
      <c r="O13" s="1050">
        <v>178.29660899999999</v>
      </c>
      <c r="P13" s="1050">
        <v>3840.4594181000002</v>
      </c>
      <c r="Q13" s="1048">
        <v>196.261211</v>
      </c>
      <c r="R13" s="1048">
        <v>4249.8830035000001</v>
      </c>
      <c r="S13" s="1050">
        <v>228.684619</v>
      </c>
      <c r="T13" s="1050">
        <v>5768.7821151999997</v>
      </c>
      <c r="U13" s="1438" t="s">
        <v>2153</v>
      </c>
      <c r="V13" s="1047"/>
      <c r="W13" s="1850"/>
    </row>
    <row r="14" spans="1:23" ht="16.5" customHeight="1">
      <c r="A14" s="1437" t="s">
        <v>2152</v>
      </c>
      <c r="B14" s="792" t="s">
        <v>2077</v>
      </c>
      <c r="C14" s="792" t="s">
        <v>47</v>
      </c>
      <c r="D14" s="792">
        <v>1705.88</v>
      </c>
      <c r="E14" s="792" t="s">
        <v>47</v>
      </c>
      <c r="F14" s="792">
        <v>2078.91</v>
      </c>
      <c r="G14" s="792" t="s">
        <v>47</v>
      </c>
      <c r="H14" s="792">
        <v>2174.12</v>
      </c>
      <c r="I14" s="1049"/>
      <c r="J14" s="1049">
        <v>2193.58</v>
      </c>
      <c r="K14" s="1049"/>
      <c r="L14" s="1049">
        <v>2874.0746675999999</v>
      </c>
      <c r="M14" s="1049"/>
      <c r="N14" s="1049">
        <v>2648.0210404999998</v>
      </c>
      <c r="O14" s="1050">
        <v>0</v>
      </c>
      <c r="P14" s="1050">
        <v>2656.5287907000002</v>
      </c>
      <c r="Q14" s="1048">
        <v>0</v>
      </c>
      <c r="R14" s="1048">
        <v>2631.6376098999999</v>
      </c>
      <c r="S14" s="1050">
        <v>0</v>
      </c>
      <c r="T14" s="1050">
        <v>2651.625466</v>
      </c>
      <c r="U14" s="1438" t="s">
        <v>2151</v>
      </c>
      <c r="V14" s="1047"/>
      <c r="W14" s="1850"/>
    </row>
    <row r="15" spans="1:23" ht="16.5" customHeight="1">
      <c r="A15" s="1437" t="s">
        <v>2150</v>
      </c>
      <c r="B15" s="792" t="s">
        <v>2118</v>
      </c>
      <c r="C15" s="792">
        <v>939.01</v>
      </c>
      <c r="D15" s="792">
        <v>14847.74</v>
      </c>
      <c r="E15" s="792">
        <v>831.68</v>
      </c>
      <c r="F15" s="792">
        <v>16630.14</v>
      </c>
      <c r="G15" s="792">
        <v>1014.45</v>
      </c>
      <c r="H15" s="792">
        <v>19111.25</v>
      </c>
      <c r="I15" s="1049">
        <v>1096.32</v>
      </c>
      <c r="J15" s="1049">
        <v>20084.91</v>
      </c>
      <c r="K15" s="1049">
        <v>1133.889439</v>
      </c>
      <c r="L15" s="1049">
        <v>23217.772565200001</v>
      </c>
      <c r="M15" s="1049">
        <v>1193.440934</v>
      </c>
      <c r="N15" s="1049">
        <v>25642.040560400001</v>
      </c>
      <c r="O15" s="1050">
        <v>1607.058507</v>
      </c>
      <c r="P15" s="1050">
        <v>29529.392655200001</v>
      </c>
      <c r="Q15" s="1048">
        <v>1427.7181459999999</v>
      </c>
      <c r="R15" s="1048">
        <v>29039.266387899999</v>
      </c>
      <c r="S15" s="1050">
        <v>1026.4129640000001</v>
      </c>
      <c r="T15" s="1050">
        <v>24195.9793823</v>
      </c>
      <c r="U15" s="1438" t="s">
        <v>2149</v>
      </c>
      <c r="V15" s="1047"/>
      <c r="W15" s="1850"/>
    </row>
    <row r="16" spans="1:23" ht="16.5" customHeight="1">
      <c r="A16" s="1437" t="s">
        <v>2148</v>
      </c>
      <c r="B16" s="792" t="s">
        <v>2118</v>
      </c>
      <c r="C16" s="792">
        <v>134.57</v>
      </c>
      <c r="D16" s="792">
        <v>5565.85</v>
      </c>
      <c r="E16" s="792">
        <v>103.13</v>
      </c>
      <c r="F16" s="792">
        <v>5027.99</v>
      </c>
      <c r="G16" s="792">
        <v>91.79</v>
      </c>
      <c r="H16" s="792">
        <v>5278.61</v>
      </c>
      <c r="I16" s="1049">
        <v>90.06</v>
      </c>
      <c r="J16" s="1049">
        <v>5945.28</v>
      </c>
      <c r="K16" s="1049">
        <v>78.215999999999994</v>
      </c>
      <c r="L16" s="1049">
        <v>4579.1727011000003</v>
      </c>
      <c r="M16" s="1049">
        <v>84.373000000000005</v>
      </c>
      <c r="N16" s="1049">
        <v>4018.3469648999999</v>
      </c>
      <c r="O16" s="1050">
        <v>70.11</v>
      </c>
      <c r="P16" s="1050">
        <v>3112.2238364</v>
      </c>
      <c r="Q16" s="1048">
        <v>7.5450000000000003E-2</v>
      </c>
      <c r="R16" s="1048">
        <v>3377.4044048999999</v>
      </c>
      <c r="S16" s="1050">
        <v>5.0210999999999999E-2</v>
      </c>
      <c r="T16" s="1050">
        <v>2329.861519</v>
      </c>
      <c r="U16" s="1438" t="s">
        <v>2147</v>
      </c>
      <c r="V16" s="1047"/>
      <c r="W16" s="1850"/>
    </row>
    <row r="17" spans="1:23" ht="16.5" customHeight="1">
      <c r="A17" s="1437" t="s">
        <v>2146</v>
      </c>
      <c r="B17" s="792" t="s">
        <v>2077</v>
      </c>
      <c r="C17" s="792">
        <v>10.94</v>
      </c>
      <c r="D17" s="792">
        <v>55.81</v>
      </c>
      <c r="E17" s="792">
        <v>11.68</v>
      </c>
      <c r="F17" s="792">
        <v>57.59</v>
      </c>
      <c r="G17" s="792">
        <v>11.4</v>
      </c>
      <c r="H17" s="792">
        <v>43.99</v>
      </c>
      <c r="I17" s="1049">
        <v>8.33</v>
      </c>
      <c r="J17" s="1049">
        <v>32.630000000000003</v>
      </c>
      <c r="K17" s="1049">
        <v>5.3006609999999998</v>
      </c>
      <c r="L17" s="1049">
        <v>26.912596799999999</v>
      </c>
      <c r="M17" s="1049">
        <v>4.6050849999999999</v>
      </c>
      <c r="N17" s="1049">
        <v>23.093112900000001</v>
      </c>
      <c r="O17" s="1050">
        <v>3.735916</v>
      </c>
      <c r="P17" s="1050">
        <v>19.7215162</v>
      </c>
      <c r="Q17" s="1048">
        <v>4.9436540000000004</v>
      </c>
      <c r="R17" s="1048">
        <v>32.509815400000001</v>
      </c>
      <c r="S17" s="1050">
        <v>13.862322000000001</v>
      </c>
      <c r="T17" s="1050">
        <v>94.002189200000004</v>
      </c>
      <c r="U17" s="1438" t="s">
        <v>2145</v>
      </c>
      <c r="V17" s="1047"/>
      <c r="W17" s="1850"/>
    </row>
    <row r="18" spans="1:23" ht="16.5" customHeight="1">
      <c r="A18" s="1437" t="s">
        <v>2144</v>
      </c>
      <c r="B18" s="792" t="s">
        <v>2118</v>
      </c>
      <c r="C18" s="792">
        <v>375.66</v>
      </c>
      <c r="D18" s="792">
        <v>4717.7700000000004</v>
      </c>
      <c r="E18" s="792">
        <v>328.46</v>
      </c>
      <c r="F18" s="792">
        <v>3012.31</v>
      </c>
      <c r="G18" s="792">
        <v>307.33</v>
      </c>
      <c r="H18" s="792">
        <v>2695.84</v>
      </c>
      <c r="I18" s="1049">
        <v>336.85</v>
      </c>
      <c r="J18" s="1049">
        <v>2990.93</v>
      </c>
      <c r="K18" s="1049">
        <v>312.00334400000003</v>
      </c>
      <c r="L18" s="1049">
        <v>3761.6182331</v>
      </c>
      <c r="M18" s="1049">
        <v>282.25745599999999</v>
      </c>
      <c r="N18" s="1049">
        <v>3723.3092142999999</v>
      </c>
      <c r="O18" s="1050">
        <v>273.26031499999999</v>
      </c>
      <c r="P18" s="1050">
        <v>3159.4677855</v>
      </c>
      <c r="Q18" s="1048">
        <v>242.145588</v>
      </c>
      <c r="R18" s="1048">
        <v>3036.3688124</v>
      </c>
      <c r="S18" s="1050">
        <v>193.90890200000001</v>
      </c>
      <c r="T18" s="1050">
        <v>2776.5106056999998</v>
      </c>
      <c r="U18" s="1438" t="s">
        <v>2143</v>
      </c>
      <c r="V18" s="1047"/>
      <c r="W18" s="1850"/>
    </row>
    <row r="19" spans="1:23" ht="16.5" customHeight="1">
      <c r="A19" s="1437" t="s">
        <v>2142</v>
      </c>
      <c r="B19" s="792" t="s">
        <v>2118</v>
      </c>
      <c r="C19" s="792">
        <v>18.16</v>
      </c>
      <c r="D19" s="792">
        <v>108.96</v>
      </c>
      <c r="E19" s="792">
        <v>14.12</v>
      </c>
      <c r="F19" s="792">
        <v>123.27</v>
      </c>
      <c r="G19" s="792">
        <v>14.07</v>
      </c>
      <c r="H19" s="792">
        <v>117.22</v>
      </c>
      <c r="I19" s="1049">
        <v>9.2200000000000006</v>
      </c>
      <c r="J19" s="1049">
        <v>69.86</v>
      </c>
      <c r="K19" s="1049">
        <v>13.370577000000001</v>
      </c>
      <c r="L19" s="1049">
        <v>95.500012499999997</v>
      </c>
      <c r="M19" s="1049">
        <v>13.831035</v>
      </c>
      <c r="N19" s="1049">
        <v>106.01318310000001</v>
      </c>
      <c r="O19" s="1050">
        <v>19.591232000000002</v>
      </c>
      <c r="P19" s="1050">
        <v>160.2331701</v>
      </c>
      <c r="Q19" s="1048">
        <v>6.0300840000000004</v>
      </c>
      <c r="R19" s="1048">
        <v>61.766694200000003</v>
      </c>
      <c r="S19" s="1050">
        <v>5.6673559999999998</v>
      </c>
      <c r="T19" s="1050">
        <v>60.984659600000001</v>
      </c>
      <c r="U19" s="1438" t="s">
        <v>2141</v>
      </c>
      <c r="V19" s="1047"/>
      <c r="W19" s="1850"/>
    </row>
    <row r="20" spans="1:23" ht="16.5" customHeight="1">
      <c r="A20" s="1437" t="s">
        <v>2140</v>
      </c>
      <c r="B20" s="792" t="s">
        <v>2118</v>
      </c>
      <c r="C20" s="792">
        <v>788.31</v>
      </c>
      <c r="D20" s="792">
        <v>4675.37</v>
      </c>
      <c r="E20" s="792">
        <v>542.73</v>
      </c>
      <c r="F20" s="792">
        <v>4075.63</v>
      </c>
      <c r="G20" s="792">
        <v>725.71</v>
      </c>
      <c r="H20" s="792">
        <v>5444.33</v>
      </c>
      <c r="I20" s="1049">
        <v>504.04</v>
      </c>
      <c r="J20" s="1049">
        <v>3386.3</v>
      </c>
      <c r="K20" s="1049">
        <v>489.18900000000002</v>
      </c>
      <c r="L20" s="1049">
        <v>3297.3224851</v>
      </c>
      <c r="M20" s="1049">
        <v>664.43600000000004</v>
      </c>
      <c r="N20" s="1049">
        <v>5096.3873801999998</v>
      </c>
      <c r="O20" s="1050">
        <v>638.31899999999996</v>
      </c>
      <c r="P20" s="1050">
        <v>5380.2430719000004</v>
      </c>
      <c r="Q20" s="1048">
        <v>0.514123</v>
      </c>
      <c r="R20" s="1048">
        <v>4696.9832840999998</v>
      </c>
      <c r="S20" s="1050">
        <v>0.52655300000000005</v>
      </c>
      <c r="T20" s="1050">
        <v>5155.5611755999998</v>
      </c>
      <c r="U20" s="1438" t="s">
        <v>1712</v>
      </c>
      <c r="V20" s="1047"/>
      <c r="W20" s="1850"/>
    </row>
    <row r="21" spans="1:23" ht="16.5" customHeight="1">
      <c r="A21" s="1437" t="s">
        <v>2139</v>
      </c>
      <c r="B21" s="792" t="s">
        <v>2118</v>
      </c>
      <c r="C21" s="792">
        <v>247.54</v>
      </c>
      <c r="D21" s="792">
        <v>1135.3599999999999</v>
      </c>
      <c r="E21" s="792">
        <v>204.62</v>
      </c>
      <c r="F21" s="792">
        <v>964.47</v>
      </c>
      <c r="G21" s="792">
        <v>193.27</v>
      </c>
      <c r="H21" s="792">
        <v>846.58</v>
      </c>
      <c r="I21" s="1049">
        <v>295.10000000000002</v>
      </c>
      <c r="J21" s="1049">
        <v>1126.32</v>
      </c>
      <c r="K21" s="1049">
        <v>213.83500000000001</v>
      </c>
      <c r="L21" s="1049">
        <v>926.74678960000006</v>
      </c>
      <c r="M21" s="1049">
        <v>89.641000000000005</v>
      </c>
      <c r="N21" s="1049">
        <v>437.42302590000003</v>
      </c>
      <c r="O21" s="1050">
        <v>84.573999999999998</v>
      </c>
      <c r="P21" s="1050">
        <v>455.62792930000001</v>
      </c>
      <c r="Q21" s="1048">
        <v>6.0242999999999998E-2</v>
      </c>
      <c r="R21" s="1048">
        <v>515.19535729999996</v>
      </c>
      <c r="S21" s="1050">
        <v>5.2332999999999998E-2</v>
      </c>
      <c r="T21" s="1050">
        <v>483.4914465</v>
      </c>
      <c r="U21" s="1438" t="s">
        <v>2138</v>
      </c>
      <c r="V21" s="1047"/>
      <c r="W21" s="1850"/>
    </row>
    <row r="22" spans="1:23" ht="16.5" customHeight="1">
      <c r="A22" s="1437" t="s">
        <v>2137</v>
      </c>
      <c r="B22" s="792" t="s">
        <v>2077</v>
      </c>
      <c r="C22" s="792">
        <v>423.72</v>
      </c>
      <c r="D22" s="792">
        <v>580.13</v>
      </c>
      <c r="E22" s="792">
        <v>30.6</v>
      </c>
      <c r="F22" s="792">
        <v>522.94000000000005</v>
      </c>
      <c r="G22" s="792">
        <v>60.47</v>
      </c>
      <c r="H22" s="792">
        <v>779.97</v>
      </c>
      <c r="I22" s="1049">
        <v>37.06</v>
      </c>
      <c r="J22" s="1049">
        <v>566.04</v>
      </c>
      <c r="K22" s="1049">
        <v>49.957000000000001</v>
      </c>
      <c r="L22" s="1049">
        <v>744.58391770000003</v>
      </c>
      <c r="M22" s="1049">
        <v>85.236999999999995</v>
      </c>
      <c r="N22" s="1049">
        <v>1208.6501718</v>
      </c>
      <c r="O22" s="1050">
        <v>302.221</v>
      </c>
      <c r="P22" s="1050">
        <v>4453.1741355000004</v>
      </c>
      <c r="Q22" s="1048">
        <v>9.8364999999999994E-2</v>
      </c>
      <c r="R22" s="1048">
        <v>1650.0021833000001</v>
      </c>
      <c r="S22" s="1050">
        <v>0.15678400000000001</v>
      </c>
      <c r="T22" s="1050">
        <v>2771.5928297999999</v>
      </c>
      <c r="U22" s="1438" t="s">
        <v>2136</v>
      </c>
      <c r="V22" s="1047"/>
      <c r="W22" s="1850"/>
    </row>
    <row r="23" spans="1:23" ht="16.5" customHeight="1">
      <c r="A23" s="1437" t="s">
        <v>2135</v>
      </c>
      <c r="B23" s="792" t="s">
        <v>2077</v>
      </c>
      <c r="C23" s="792">
        <v>3904.59</v>
      </c>
      <c r="D23" s="792">
        <v>8129.18</v>
      </c>
      <c r="E23" s="792">
        <v>2056.36</v>
      </c>
      <c r="F23" s="792">
        <v>3599.56</v>
      </c>
      <c r="G23" s="792">
        <v>2632.26</v>
      </c>
      <c r="H23" s="792">
        <v>5410.1</v>
      </c>
      <c r="I23" s="1049">
        <v>3570.78</v>
      </c>
      <c r="J23" s="1049">
        <v>7043.15</v>
      </c>
      <c r="K23" s="1049">
        <v>4493.2929999999997</v>
      </c>
      <c r="L23" s="1049">
        <v>10557.4751925</v>
      </c>
      <c r="M23" s="1049">
        <v>2655.7890000000002</v>
      </c>
      <c r="N23" s="1049">
        <v>5861.3534651</v>
      </c>
      <c r="O23" s="1050">
        <v>4366.5540000000001</v>
      </c>
      <c r="P23" s="1048">
        <v>11688.559667699999</v>
      </c>
      <c r="Q23" s="1048">
        <v>2.9257019999999998</v>
      </c>
      <c r="R23" s="1048">
        <v>7695.3081556999996</v>
      </c>
      <c r="S23" s="1050">
        <v>3.0301640000000001</v>
      </c>
      <c r="T23" s="1050">
        <v>8941.4941863000004</v>
      </c>
      <c r="U23" s="1438" t="s">
        <v>2134</v>
      </c>
      <c r="V23" s="1047"/>
      <c r="W23" s="1850"/>
    </row>
    <row r="24" spans="1:23" ht="16.5" customHeight="1">
      <c r="A24" s="1437" t="s">
        <v>2133</v>
      </c>
      <c r="B24" s="792" t="s">
        <v>2077</v>
      </c>
      <c r="C24" s="792">
        <v>665.11</v>
      </c>
      <c r="D24" s="792">
        <v>9478.26</v>
      </c>
      <c r="E24" s="792">
        <v>325.25</v>
      </c>
      <c r="F24" s="792">
        <v>3233.87</v>
      </c>
      <c r="G24" s="792">
        <v>419.95</v>
      </c>
      <c r="H24" s="792">
        <v>3106.62</v>
      </c>
      <c r="I24" s="1049">
        <v>494.13</v>
      </c>
      <c r="J24" s="1049">
        <v>4169.5600000000004</v>
      </c>
      <c r="K24" s="1049">
        <v>513.21799999999996</v>
      </c>
      <c r="L24" s="1049">
        <v>4707.0491048000004</v>
      </c>
      <c r="M24" s="1049">
        <v>381.87799999999999</v>
      </c>
      <c r="N24" s="1049">
        <v>3261.5961078999999</v>
      </c>
      <c r="O24" s="1050">
        <v>234.87799999999999</v>
      </c>
      <c r="P24" s="1050">
        <v>1949.0930949999999</v>
      </c>
      <c r="Q24" s="1048">
        <v>0.32232899999999998</v>
      </c>
      <c r="R24" s="1048">
        <v>3340.9073278000001</v>
      </c>
      <c r="S24" s="1050">
        <v>0.35058400000000001</v>
      </c>
      <c r="T24" s="1050">
        <v>4243.4978515000003</v>
      </c>
      <c r="U24" s="1438" t="s">
        <v>2132</v>
      </c>
      <c r="V24" s="1047"/>
      <c r="W24" s="1850"/>
    </row>
    <row r="25" spans="1:23" ht="16.5" customHeight="1">
      <c r="A25" s="1437" t="s">
        <v>2131</v>
      </c>
      <c r="B25" s="792" t="s">
        <v>2077</v>
      </c>
      <c r="C25" s="792">
        <v>566.46</v>
      </c>
      <c r="D25" s="792">
        <v>4710.42</v>
      </c>
      <c r="E25" s="792">
        <v>586.78</v>
      </c>
      <c r="F25" s="792">
        <v>4616.1000000000004</v>
      </c>
      <c r="G25" s="792">
        <v>599.20000000000005</v>
      </c>
      <c r="H25" s="792">
        <v>4521.51</v>
      </c>
      <c r="I25" s="1049">
        <v>697.09</v>
      </c>
      <c r="J25" s="1049">
        <v>6730</v>
      </c>
      <c r="K25" s="1049">
        <v>619.37656700000002</v>
      </c>
      <c r="L25" s="1049">
        <v>6170.1214</v>
      </c>
      <c r="M25" s="1049">
        <v>593.907466</v>
      </c>
      <c r="N25" s="1049">
        <v>6323.8425190999997</v>
      </c>
      <c r="O25" s="1050">
        <v>734.33646399999998</v>
      </c>
      <c r="P25" s="1050">
        <v>6801.9895354999999</v>
      </c>
      <c r="Q25" s="1048">
        <v>715.20955700000002</v>
      </c>
      <c r="R25" s="1048">
        <v>8754.3457811000007</v>
      </c>
      <c r="S25" s="1050">
        <v>523.54650100000003</v>
      </c>
      <c r="T25" s="1050">
        <v>8366.0623364999992</v>
      </c>
      <c r="U25" s="1438" t="s">
        <v>2130</v>
      </c>
      <c r="V25" s="1047"/>
      <c r="W25" s="1850"/>
    </row>
    <row r="26" spans="1:23" ht="16.5" customHeight="1">
      <c r="A26" s="1437" t="s">
        <v>2129</v>
      </c>
      <c r="B26" s="792" t="s">
        <v>2077</v>
      </c>
      <c r="C26" s="792">
        <v>5.24</v>
      </c>
      <c r="D26" s="792">
        <v>267.47000000000003</v>
      </c>
      <c r="E26" s="792">
        <v>6.39</v>
      </c>
      <c r="F26" s="792">
        <v>203.31</v>
      </c>
      <c r="G26" s="792">
        <v>6.06</v>
      </c>
      <c r="H26" s="792">
        <v>225.53</v>
      </c>
      <c r="I26" s="1049">
        <v>6.53</v>
      </c>
      <c r="J26" s="1049">
        <v>285.18</v>
      </c>
      <c r="K26" s="1049">
        <v>6.9960440000000004</v>
      </c>
      <c r="L26" s="1049">
        <v>304.78670310000001</v>
      </c>
      <c r="M26" s="1049">
        <v>7.1739579999999998</v>
      </c>
      <c r="N26" s="1049">
        <v>411.93758780000002</v>
      </c>
      <c r="O26" s="1050">
        <v>7.8762629999999998</v>
      </c>
      <c r="P26" s="1050">
        <v>649.82590149999999</v>
      </c>
      <c r="Q26" s="1048">
        <v>8.4859089999999995</v>
      </c>
      <c r="R26" s="1048">
        <v>790.24084800000003</v>
      </c>
      <c r="S26" s="1050">
        <v>4.3838379999999999</v>
      </c>
      <c r="T26" s="1050">
        <v>668.37641259999998</v>
      </c>
      <c r="U26" s="1438" t="s">
        <v>2128</v>
      </c>
      <c r="V26" s="1047"/>
      <c r="W26" s="1850"/>
    </row>
    <row r="27" spans="1:23" ht="16.5" customHeight="1">
      <c r="A27" s="1437" t="s">
        <v>2127</v>
      </c>
      <c r="B27" s="792" t="s">
        <v>2077</v>
      </c>
      <c r="C27" s="792">
        <v>1955.19</v>
      </c>
      <c r="D27" s="792">
        <v>5328.83</v>
      </c>
      <c r="E27" s="792">
        <v>3844.45</v>
      </c>
      <c r="F27" s="792">
        <v>9824.52</v>
      </c>
      <c r="G27" s="792">
        <v>2544.0100000000002</v>
      </c>
      <c r="H27" s="792">
        <v>8659.5400000000009</v>
      </c>
      <c r="I27" s="1049">
        <v>1757.93</v>
      </c>
      <c r="J27" s="1049">
        <v>5225.6000000000004</v>
      </c>
      <c r="K27" s="1049">
        <v>3989.6610000000001</v>
      </c>
      <c r="L27" s="1049">
        <v>9523.1367425999997</v>
      </c>
      <c r="M27" s="1049">
        <v>5798.5339999999997</v>
      </c>
      <c r="N27" s="1049">
        <v>13981.556028499999</v>
      </c>
      <c r="O27" s="1050">
        <v>7517.9229999999998</v>
      </c>
      <c r="P27" s="1048">
        <v>20668.566270700001</v>
      </c>
      <c r="Q27" s="1048">
        <v>10.457079999999999</v>
      </c>
      <c r="R27" s="1048">
        <v>34344.685209299998</v>
      </c>
      <c r="S27" s="1050">
        <v>9.6551559999999998</v>
      </c>
      <c r="T27" s="1050">
        <v>37397.858120299999</v>
      </c>
      <c r="U27" s="1438" t="s">
        <v>2126</v>
      </c>
      <c r="V27" s="1047"/>
      <c r="W27" s="1850"/>
    </row>
    <row r="28" spans="1:23" ht="16.5" customHeight="1">
      <c r="A28" s="1437" t="s">
        <v>2125</v>
      </c>
      <c r="B28" s="792" t="s">
        <v>2077</v>
      </c>
      <c r="C28" s="792">
        <v>247.61</v>
      </c>
      <c r="D28" s="792">
        <v>193.01</v>
      </c>
      <c r="E28" s="792">
        <v>818.57</v>
      </c>
      <c r="F28" s="792">
        <v>656.84</v>
      </c>
      <c r="G28" s="792">
        <v>390.67</v>
      </c>
      <c r="H28" s="792">
        <v>314.94</v>
      </c>
      <c r="I28" s="1049">
        <v>123.97</v>
      </c>
      <c r="J28" s="1049">
        <v>97.45</v>
      </c>
      <c r="K28" s="1049">
        <v>845.96</v>
      </c>
      <c r="L28" s="1049">
        <v>586.80290909999997</v>
      </c>
      <c r="M28" s="1049">
        <v>593.61599999999999</v>
      </c>
      <c r="N28" s="1049">
        <v>517.50830940000003</v>
      </c>
      <c r="O28" s="1050">
        <v>1317.6790000000001</v>
      </c>
      <c r="P28" s="1050">
        <v>1316.2162820000001</v>
      </c>
      <c r="Q28" s="1048">
        <v>1.4049830000000001</v>
      </c>
      <c r="R28" s="1048">
        <v>1625.7462624</v>
      </c>
      <c r="S28" s="1050">
        <v>1.21672</v>
      </c>
      <c r="T28" s="1050">
        <v>1546.2596564999999</v>
      </c>
      <c r="U28" s="1438" t="s">
        <v>2124</v>
      </c>
      <c r="V28" s="1047"/>
      <c r="W28" s="1850"/>
    </row>
    <row r="29" spans="1:23" ht="16.5" customHeight="1">
      <c r="A29" s="1437" t="s">
        <v>2123</v>
      </c>
      <c r="B29" s="792" t="s">
        <v>2118</v>
      </c>
      <c r="C29" s="792">
        <v>12.5</v>
      </c>
      <c r="D29" s="792">
        <v>427.04</v>
      </c>
      <c r="E29" s="792">
        <v>13.1</v>
      </c>
      <c r="F29" s="792">
        <v>529.19000000000005</v>
      </c>
      <c r="G29" s="792">
        <v>11.29</v>
      </c>
      <c r="H29" s="792">
        <v>522.75</v>
      </c>
      <c r="I29" s="1049">
        <v>14.47</v>
      </c>
      <c r="J29" s="1049">
        <v>670.91</v>
      </c>
      <c r="K29" s="1049">
        <v>17.532399999999999</v>
      </c>
      <c r="L29" s="1049">
        <v>866.31257900000003</v>
      </c>
      <c r="M29" s="1049">
        <v>19.221692999999998</v>
      </c>
      <c r="N29" s="1049">
        <v>771.6603298</v>
      </c>
      <c r="O29" s="1050">
        <v>32.285420999999999</v>
      </c>
      <c r="P29" s="1050">
        <v>929.62867270000004</v>
      </c>
      <c r="Q29" s="1048">
        <v>20.989493</v>
      </c>
      <c r="R29" s="1048">
        <v>843.82432100000005</v>
      </c>
      <c r="S29" s="1050">
        <v>14.488531</v>
      </c>
      <c r="T29" s="1050">
        <v>802.49290289999999</v>
      </c>
      <c r="U29" s="1438" t="s">
        <v>2122</v>
      </c>
      <c r="V29" s="1047"/>
      <c r="W29" s="1850"/>
    </row>
    <row r="30" spans="1:23" ht="16.5" customHeight="1">
      <c r="A30" s="1437" t="s">
        <v>2121</v>
      </c>
      <c r="B30" s="792" t="s">
        <v>2118</v>
      </c>
      <c r="C30" s="792">
        <v>539.23</v>
      </c>
      <c r="D30" s="792">
        <v>3160.08</v>
      </c>
      <c r="E30" s="792">
        <v>654.66</v>
      </c>
      <c r="F30" s="792">
        <v>4191.24</v>
      </c>
      <c r="G30" s="792">
        <v>817.06</v>
      </c>
      <c r="H30" s="792">
        <v>4974.21</v>
      </c>
      <c r="I30" s="1049">
        <v>714</v>
      </c>
      <c r="J30" s="1049">
        <v>4913.28</v>
      </c>
      <c r="K30" s="1049">
        <v>823.08500000000004</v>
      </c>
      <c r="L30" s="1049">
        <v>5538.1527384000001</v>
      </c>
      <c r="M30" s="1049">
        <v>834.83500000000004</v>
      </c>
      <c r="N30" s="1049">
        <v>5496.3810047999996</v>
      </c>
      <c r="O30" s="1050">
        <v>973.17700000000002</v>
      </c>
      <c r="P30" s="1050">
        <v>5668.7495681999999</v>
      </c>
      <c r="Q30" s="1048">
        <v>1.1664399999999999</v>
      </c>
      <c r="R30" s="1048">
        <v>6565.8379576999996</v>
      </c>
      <c r="S30" s="1050">
        <v>0.74541900000000005</v>
      </c>
      <c r="T30" s="1050">
        <v>4229.8532231999998</v>
      </c>
      <c r="U30" s="1438" t="s">
        <v>2120</v>
      </c>
      <c r="V30" s="1047"/>
      <c r="W30" s="1850"/>
    </row>
    <row r="31" spans="1:23" ht="16.5" customHeight="1">
      <c r="A31" s="1437" t="s">
        <v>2119</v>
      </c>
      <c r="B31" s="792" t="s">
        <v>2118</v>
      </c>
      <c r="C31" s="792">
        <v>2081.8000000000002</v>
      </c>
      <c r="D31" s="792">
        <v>4666.45</v>
      </c>
      <c r="E31" s="792">
        <v>2104.36</v>
      </c>
      <c r="F31" s="792">
        <v>5237.1000000000004</v>
      </c>
      <c r="G31" s="792">
        <v>3404.07</v>
      </c>
      <c r="H31" s="792">
        <v>5790.71</v>
      </c>
      <c r="I31" s="1049">
        <v>2448.02</v>
      </c>
      <c r="J31" s="1049">
        <v>5297.72</v>
      </c>
      <c r="K31" s="1049">
        <v>3192.4929999999999</v>
      </c>
      <c r="L31" s="1049">
        <v>5679.1042568000003</v>
      </c>
      <c r="M31" s="1049">
        <v>1930.511</v>
      </c>
      <c r="N31" s="1049">
        <v>4617.3406886000002</v>
      </c>
      <c r="O31" s="1050">
        <v>2339.6750000000002</v>
      </c>
      <c r="P31" s="1050">
        <v>5388.0263242999999</v>
      </c>
      <c r="Q31" s="1048">
        <v>2.468404</v>
      </c>
      <c r="R31" s="1048">
        <v>6075.8253869999999</v>
      </c>
      <c r="S31" s="1050">
        <v>2.6785209999999999</v>
      </c>
      <c r="T31" s="1050">
        <v>6005.7955079000003</v>
      </c>
      <c r="U31" s="1438" t="s">
        <v>2117</v>
      </c>
      <c r="V31" s="1047"/>
      <c r="W31" s="1850"/>
    </row>
    <row r="32" spans="1:23" ht="16.5" customHeight="1">
      <c r="A32" s="1437" t="s">
        <v>2116</v>
      </c>
      <c r="B32" s="792" t="s">
        <v>2077</v>
      </c>
      <c r="C32" s="792">
        <v>186.04</v>
      </c>
      <c r="D32" s="792">
        <v>1721.89</v>
      </c>
      <c r="E32" s="792">
        <v>174.43</v>
      </c>
      <c r="F32" s="792">
        <v>1697.22</v>
      </c>
      <c r="G32" s="792">
        <v>192.86</v>
      </c>
      <c r="H32" s="792">
        <v>1765.75</v>
      </c>
      <c r="I32" s="1049">
        <v>212.2</v>
      </c>
      <c r="J32" s="1049">
        <v>1823.36</v>
      </c>
      <c r="K32" s="1049">
        <v>228.96700000000001</v>
      </c>
      <c r="L32" s="1049">
        <v>2055.4110156000002</v>
      </c>
      <c r="M32" s="1049">
        <v>223.30825200000001</v>
      </c>
      <c r="N32" s="1049">
        <v>2212.0319282</v>
      </c>
      <c r="O32" s="1050">
        <v>367.09892400000001</v>
      </c>
      <c r="P32" s="1050">
        <v>3150.0560200999998</v>
      </c>
      <c r="Q32" s="1048">
        <v>308.27530999999999</v>
      </c>
      <c r="R32" s="1048">
        <v>3072.7684730999999</v>
      </c>
      <c r="S32" s="1050">
        <v>293.254119</v>
      </c>
      <c r="T32" s="1050">
        <v>3216.9371707</v>
      </c>
      <c r="U32" s="1438" t="s">
        <v>2115</v>
      </c>
      <c r="V32" s="1047"/>
      <c r="W32" s="1850"/>
    </row>
    <row r="33" spans="1:23" ht="16.5" customHeight="1">
      <c r="A33" s="1437" t="s">
        <v>2114</v>
      </c>
      <c r="B33" s="792" t="s">
        <v>2077</v>
      </c>
      <c r="C33" s="792">
        <v>588.38</v>
      </c>
      <c r="D33" s="792">
        <v>3626.86</v>
      </c>
      <c r="E33" s="792">
        <v>532.29</v>
      </c>
      <c r="F33" s="792">
        <v>3767.08</v>
      </c>
      <c r="G33" s="792">
        <v>533.15</v>
      </c>
      <c r="H33" s="792">
        <v>3921.08</v>
      </c>
      <c r="I33" s="1049">
        <v>573.28</v>
      </c>
      <c r="J33" s="1049">
        <v>4169.13</v>
      </c>
      <c r="K33" s="1049">
        <v>594.48732800000005</v>
      </c>
      <c r="L33" s="1049">
        <v>4481.2511950999997</v>
      </c>
      <c r="M33" s="1049">
        <v>568.88301300000001</v>
      </c>
      <c r="N33" s="1049">
        <v>4590.9639857000002</v>
      </c>
      <c r="O33" s="1050">
        <v>532.87071800000001</v>
      </c>
      <c r="P33" s="1050">
        <v>5150.8031342000004</v>
      </c>
      <c r="Q33" s="1048">
        <v>629.70417899999995</v>
      </c>
      <c r="R33" s="1048">
        <v>5802.5321154000003</v>
      </c>
      <c r="S33" s="1050">
        <v>514.48357399999998</v>
      </c>
      <c r="T33" s="1050">
        <v>5969.5776431000004</v>
      </c>
      <c r="U33" s="1438" t="s">
        <v>2113</v>
      </c>
      <c r="V33" s="1047"/>
      <c r="W33" s="1850"/>
    </row>
    <row r="34" spans="1:23" ht="16.5" customHeight="1">
      <c r="A34" s="1437" t="s">
        <v>2112</v>
      </c>
      <c r="B34" s="792" t="s">
        <v>2077</v>
      </c>
      <c r="C34" s="792">
        <v>313.67</v>
      </c>
      <c r="D34" s="792">
        <v>3036.64</v>
      </c>
      <c r="E34" s="792">
        <v>316.54000000000002</v>
      </c>
      <c r="F34" s="792">
        <v>3358.12</v>
      </c>
      <c r="G34" s="792">
        <v>339.95</v>
      </c>
      <c r="H34" s="792">
        <v>3565.55</v>
      </c>
      <c r="I34" s="1049">
        <v>353.35</v>
      </c>
      <c r="J34" s="1049">
        <v>3561.69</v>
      </c>
      <c r="K34" s="1049">
        <v>347.80700000000002</v>
      </c>
      <c r="L34" s="1049">
        <v>3859.4566344</v>
      </c>
      <c r="M34" s="1049">
        <v>342.64800000000002</v>
      </c>
      <c r="N34" s="1049">
        <v>3885.3001972000002</v>
      </c>
      <c r="O34" s="1050">
        <v>403.98500000000001</v>
      </c>
      <c r="P34" s="1050">
        <v>4714.6849198</v>
      </c>
      <c r="Q34" s="1048">
        <v>0.41553299999999999</v>
      </c>
      <c r="R34" s="1048">
        <v>4864.1731818999997</v>
      </c>
      <c r="S34" s="1050">
        <v>0.39811299999999999</v>
      </c>
      <c r="T34" s="1050">
        <v>5011.5316043000003</v>
      </c>
      <c r="U34" s="1438" t="s">
        <v>2111</v>
      </c>
      <c r="V34" s="1047"/>
      <c r="W34" s="1850"/>
    </row>
    <row r="35" spans="1:23" ht="16.5" customHeight="1">
      <c r="A35" s="1437" t="s">
        <v>2110</v>
      </c>
      <c r="B35" s="792" t="s">
        <v>2077</v>
      </c>
      <c r="C35" s="792">
        <v>33.369999999999997</v>
      </c>
      <c r="D35" s="792">
        <v>848.66</v>
      </c>
      <c r="E35" s="792">
        <v>32.65</v>
      </c>
      <c r="F35" s="792">
        <v>1267.6099999999999</v>
      </c>
      <c r="G35" s="792">
        <v>25.65</v>
      </c>
      <c r="H35" s="792">
        <v>1086.77</v>
      </c>
      <c r="I35" s="1049">
        <v>29.58</v>
      </c>
      <c r="J35" s="1049">
        <v>1144.3499999999999</v>
      </c>
      <c r="K35" s="1049">
        <v>27.607088000000001</v>
      </c>
      <c r="L35" s="1049">
        <v>1350.8615159999999</v>
      </c>
      <c r="M35" s="1049">
        <v>27.432783000000001</v>
      </c>
      <c r="N35" s="1049">
        <v>1274.6890777000001</v>
      </c>
      <c r="O35" s="1050">
        <v>25.776772999999999</v>
      </c>
      <c r="P35" s="1050">
        <v>1108.3843133</v>
      </c>
      <c r="Q35" s="1048">
        <v>27.323308000000001</v>
      </c>
      <c r="R35" s="1048">
        <v>1145.4508258999999</v>
      </c>
      <c r="S35" s="1050">
        <v>28.044926</v>
      </c>
      <c r="T35" s="1050">
        <v>1008.5889019</v>
      </c>
      <c r="U35" s="1438" t="s">
        <v>2109</v>
      </c>
      <c r="V35" s="1047"/>
      <c r="W35" s="1850"/>
    </row>
    <row r="36" spans="1:23" ht="16.5" customHeight="1">
      <c r="A36" s="1437" t="s">
        <v>2108</v>
      </c>
      <c r="B36" s="792" t="s">
        <v>2077</v>
      </c>
      <c r="C36" s="792">
        <v>420.85</v>
      </c>
      <c r="D36" s="792">
        <v>1030.6099999999999</v>
      </c>
      <c r="E36" s="792">
        <v>431.46</v>
      </c>
      <c r="F36" s="792">
        <v>1102.73</v>
      </c>
      <c r="G36" s="792">
        <v>255.8</v>
      </c>
      <c r="H36" s="792">
        <v>813.54</v>
      </c>
      <c r="I36" s="1049">
        <v>270.39999999999998</v>
      </c>
      <c r="J36" s="1049">
        <v>876.62</v>
      </c>
      <c r="K36" s="1049">
        <v>307.41930000000002</v>
      </c>
      <c r="L36" s="1049">
        <v>1063.0296713</v>
      </c>
      <c r="M36" s="1049">
        <v>286.45014600000002</v>
      </c>
      <c r="N36" s="1049">
        <v>1074.6192051</v>
      </c>
      <c r="O36" s="1050">
        <v>397.056195</v>
      </c>
      <c r="P36" s="1050">
        <v>1536.2668854000001</v>
      </c>
      <c r="Q36" s="1048">
        <v>699.56519100000003</v>
      </c>
      <c r="R36" s="1048">
        <v>2282.0002552000001</v>
      </c>
      <c r="S36" s="1050">
        <v>590.85116900000003</v>
      </c>
      <c r="T36" s="1050">
        <v>2057.1669934000001</v>
      </c>
      <c r="U36" s="1438" t="s">
        <v>2107</v>
      </c>
      <c r="V36" s="1047"/>
      <c r="W36" s="1850"/>
    </row>
    <row r="37" spans="1:23" ht="16.5" customHeight="1">
      <c r="A37" s="1437" t="s">
        <v>2106</v>
      </c>
      <c r="B37" s="792" t="s">
        <v>2077</v>
      </c>
      <c r="C37" s="792" t="s">
        <v>47</v>
      </c>
      <c r="D37" s="792">
        <v>2772.44</v>
      </c>
      <c r="E37" s="792" t="s">
        <v>47</v>
      </c>
      <c r="F37" s="792">
        <v>2907.85</v>
      </c>
      <c r="G37" s="792" t="s">
        <v>47</v>
      </c>
      <c r="H37" s="792">
        <v>3053.79</v>
      </c>
      <c r="I37" s="1049"/>
      <c r="J37" s="1049">
        <v>3548.95</v>
      </c>
      <c r="K37" s="1049"/>
      <c r="L37" s="1049">
        <v>4613.3816262999999</v>
      </c>
      <c r="M37" s="1049"/>
      <c r="N37" s="1049">
        <v>4586.8005394000002</v>
      </c>
      <c r="O37" s="1050">
        <v>0</v>
      </c>
      <c r="P37" s="1050">
        <v>6402.8412558</v>
      </c>
      <c r="Q37" s="1048">
        <v>0</v>
      </c>
      <c r="R37" s="1048">
        <v>8714.6970870000005</v>
      </c>
      <c r="S37" s="1050">
        <v>0</v>
      </c>
      <c r="T37" s="1050">
        <v>9054.9892646999997</v>
      </c>
      <c r="U37" s="1438" t="s">
        <v>2105</v>
      </c>
      <c r="V37" s="1047"/>
      <c r="W37" s="1850"/>
    </row>
    <row r="38" spans="1:23" ht="16.5" customHeight="1">
      <c r="A38" s="1437" t="s">
        <v>2104</v>
      </c>
      <c r="B38" s="792" t="s">
        <v>2077</v>
      </c>
      <c r="C38" s="792">
        <v>0.26</v>
      </c>
      <c r="D38" s="792">
        <v>19.329999999999998</v>
      </c>
      <c r="E38" s="792">
        <v>0.21</v>
      </c>
      <c r="F38" s="792">
        <v>17.02</v>
      </c>
      <c r="G38" s="792">
        <v>0.17</v>
      </c>
      <c r="H38" s="792">
        <v>13.84</v>
      </c>
      <c r="I38" s="1049">
        <v>12.42</v>
      </c>
      <c r="J38" s="1049">
        <v>327.44</v>
      </c>
      <c r="K38" s="1049">
        <v>14.882826</v>
      </c>
      <c r="L38" s="1049">
        <v>480.66255589999997</v>
      </c>
      <c r="M38" s="1049">
        <v>12.816181</v>
      </c>
      <c r="N38" s="1049">
        <v>398.49828120000001</v>
      </c>
      <c r="O38" s="1050">
        <v>13.887740000000001</v>
      </c>
      <c r="P38" s="1050">
        <v>416.54246330000001</v>
      </c>
      <c r="Q38" s="1048">
        <v>13.826905999999999</v>
      </c>
      <c r="R38" s="1048">
        <v>474.03665189999998</v>
      </c>
      <c r="S38" s="1050">
        <v>10.754446</v>
      </c>
      <c r="T38" s="1050">
        <v>286.81369130000002</v>
      </c>
      <c r="U38" s="1438" t="s">
        <v>2103</v>
      </c>
      <c r="V38" s="1047"/>
      <c r="W38" s="1850"/>
    </row>
    <row r="39" spans="1:23" ht="16.5" customHeight="1">
      <c r="A39" s="1437" t="s">
        <v>2102</v>
      </c>
      <c r="B39" s="792" t="s">
        <v>2077</v>
      </c>
      <c r="C39" s="792">
        <v>1503.51</v>
      </c>
      <c r="D39" s="792">
        <v>29282.58</v>
      </c>
      <c r="E39" s="792">
        <v>1314.22</v>
      </c>
      <c r="F39" s="792">
        <v>26684.22</v>
      </c>
      <c r="G39" s="792">
        <v>1323.58</v>
      </c>
      <c r="H39" s="792">
        <v>26161.38</v>
      </c>
      <c r="I39" s="1049">
        <v>1350.25</v>
      </c>
      <c r="J39" s="1049">
        <v>26035.19</v>
      </c>
      <c r="K39" s="1049">
        <v>1233.3779999999999</v>
      </c>
      <c r="L39" s="1049">
        <v>25091.427246399999</v>
      </c>
      <c r="M39" s="1049">
        <v>1152.3240000000001</v>
      </c>
      <c r="N39" s="1049">
        <v>22661.116711499999</v>
      </c>
      <c r="O39" s="1050">
        <v>1085.6130000000001</v>
      </c>
      <c r="P39" s="1048">
        <v>23459.894601100001</v>
      </c>
      <c r="Q39" s="1048">
        <v>1.175325</v>
      </c>
      <c r="R39" s="1048">
        <v>24612.742565699999</v>
      </c>
      <c r="S39" s="1050">
        <v>0.96735099999999996</v>
      </c>
      <c r="T39" s="1050">
        <v>20967.013615299998</v>
      </c>
      <c r="U39" s="1438" t="s">
        <v>2101</v>
      </c>
      <c r="V39" s="1047"/>
      <c r="W39" s="1850"/>
    </row>
    <row r="40" spans="1:23" ht="16.5" customHeight="1">
      <c r="A40" s="1437" t="s">
        <v>2100</v>
      </c>
      <c r="B40" s="792" t="s">
        <v>2077</v>
      </c>
      <c r="C40" s="792">
        <v>23.61</v>
      </c>
      <c r="D40" s="792">
        <v>828.11</v>
      </c>
      <c r="E40" s="792">
        <v>21.95</v>
      </c>
      <c r="F40" s="792">
        <v>837.76</v>
      </c>
      <c r="G40" s="792">
        <v>22.01</v>
      </c>
      <c r="H40" s="792">
        <v>869.84</v>
      </c>
      <c r="I40" s="1049">
        <v>22.8</v>
      </c>
      <c r="J40" s="1049">
        <v>843.61</v>
      </c>
      <c r="K40" s="1049">
        <v>21.673999999999999</v>
      </c>
      <c r="L40" s="1049">
        <v>867.52831790000005</v>
      </c>
      <c r="M40" s="1049">
        <v>14.368</v>
      </c>
      <c r="N40" s="1049">
        <v>654.04535050000004</v>
      </c>
      <c r="O40" s="1050">
        <v>7.1109999999999998</v>
      </c>
      <c r="P40" s="1050">
        <v>330.4521082</v>
      </c>
      <c r="Q40" s="1048">
        <v>8.6960000000000006E-3</v>
      </c>
      <c r="R40" s="1048">
        <v>448.07397930000002</v>
      </c>
      <c r="S40" s="1050">
        <v>8.3510000000000008E-3</v>
      </c>
      <c r="T40" s="1050">
        <v>445.91144150000002</v>
      </c>
      <c r="U40" s="1438" t="s">
        <v>2099</v>
      </c>
      <c r="V40" s="1047"/>
      <c r="W40" s="1850"/>
    </row>
    <row r="41" spans="1:23" ht="16.5" customHeight="1">
      <c r="A41" s="1437" t="s">
        <v>2098</v>
      </c>
      <c r="B41" s="792" t="s">
        <v>2077</v>
      </c>
      <c r="C41" s="792">
        <v>0.26</v>
      </c>
      <c r="D41" s="792">
        <v>2.67</v>
      </c>
      <c r="E41" s="792">
        <v>0</v>
      </c>
      <c r="F41" s="792">
        <v>0</v>
      </c>
      <c r="G41" s="792">
        <v>0.01</v>
      </c>
      <c r="H41" s="792">
        <v>0.21</v>
      </c>
      <c r="I41" s="1049">
        <v>0.45</v>
      </c>
      <c r="J41" s="1049">
        <v>7</v>
      </c>
      <c r="K41" s="1049">
        <v>0.84799999999999998</v>
      </c>
      <c r="L41" s="1049">
        <v>13.7304165</v>
      </c>
      <c r="M41" s="1049">
        <v>1.052</v>
      </c>
      <c r="N41" s="1049">
        <v>16.566346800000002</v>
      </c>
      <c r="O41" s="1050">
        <v>0.89400000000000002</v>
      </c>
      <c r="P41" s="1050">
        <v>18.055919800000002</v>
      </c>
      <c r="Q41" s="1048">
        <v>1.946E-3</v>
      </c>
      <c r="R41" s="1048">
        <v>45.502141600000002</v>
      </c>
      <c r="S41" s="1050">
        <v>7.5299999999999998E-4</v>
      </c>
      <c r="T41" s="1050">
        <v>18.994685</v>
      </c>
      <c r="U41" s="1438" t="s">
        <v>2097</v>
      </c>
      <c r="V41" s="1047"/>
      <c r="W41" s="1850"/>
    </row>
    <row r="42" spans="1:23" ht="16.5" customHeight="1">
      <c r="A42" s="1437" t="s">
        <v>2096</v>
      </c>
      <c r="B42" s="792" t="s">
        <v>2077</v>
      </c>
      <c r="C42" s="792">
        <v>0.41</v>
      </c>
      <c r="D42" s="792">
        <v>14.2</v>
      </c>
      <c r="E42" s="792">
        <v>0.28000000000000003</v>
      </c>
      <c r="F42" s="792">
        <v>6.16</v>
      </c>
      <c r="G42" s="792">
        <v>0.14000000000000001</v>
      </c>
      <c r="H42" s="792">
        <v>4.58</v>
      </c>
      <c r="I42" s="1049">
        <v>0.27</v>
      </c>
      <c r="J42" s="1049">
        <v>9.89</v>
      </c>
      <c r="K42" s="1049">
        <v>0.40500000000000003</v>
      </c>
      <c r="L42" s="1049">
        <v>13.920916399999999</v>
      </c>
      <c r="M42" s="1049">
        <v>0.442</v>
      </c>
      <c r="N42" s="1049">
        <v>15.2534945</v>
      </c>
      <c r="O42" s="1050">
        <v>0.78</v>
      </c>
      <c r="P42" s="1050">
        <v>12.647551399999999</v>
      </c>
      <c r="Q42" s="1048">
        <v>4.6999999999999999E-4</v>
      </c>
      <c r="R42" s="1048">
        <v>11.5421184</v>
      </c>
      <c r="S42" s="1050">
        <v>2.8400000000000002E-4</v>
      </c>
      <c r="T42" s="1050">
        <v>10.866385299999999</v>
      </c>
      <c r="U42" s="1438" t="s">
        <v>2095</v>
      </c>
      <c r="V42" s="1047"/>
      <c r="W42" s="1850"/>
    </row>
    <row r="43" spans="1:23" ht="16.5" customHeight="1">
      <c r="A43" s="1437" t="s">
        <v>2094</v>
      </c>
      <c r="B43" s="792" t="s">
        <v>2077</v>
      </c>
      <c r="C43" s="792">
        <v>104.17</v>
      </c>
      <c r="D43" s="792">
        <v>2169.0300000000002</v>
      </c>
      <c r="E43" s="792">
        <v>77.53</v>
      </c>
      <c r="F43" s="792">
        <v>1677.46</v>
      </c>
      <c r="G43" s="792">
        <v>90.35</v>
      </c>
      <c r="H43" s="792">
        <v>1701.18</v>
      </c>
      <c r="I43" s="1049">
        <v>102.26</v>
      </c>
      <c r="J43" s="1049">
        <v>1954.63</v>
      </c>
      <c r="K43" s="1049">
        <v>180.68805900000001</v>
      </c>
      <c r="L43" s="1049">
        <v>3375.7281447999999</v>
      </c>
      <c r="M43" s="1049">
        <v>111.171609</v>
      </c>
      <c r="N43" s="1049">
        <v>1983.8407907999999</v>
      </c>
      <c r="O43" s="1050">
        <v>118.33426900000001</v>
      </c>
      <c r="P43" s="1050">
        <v>2391.2038972</v>
      </c>
      <c r="Q43" s="1048">
        <v>191.954015</v>
      </c>
      <c r="R43" s="1048">
        <v>4744.1315510000004</v>
      </c>
      <c r="S43" s="1050">
        <v>135.50179800000001</v>
      </c>
      <c r="T43" s="1050">
        <v>4075.6453442000002</v>
      </c>
      <c r="U43" s="1438" t="s">
        <v>2182</v>
      </c>
      <c r="V43" s="1047"/>
      <c r="W43" s="1850"/>
    </row>
    <row r="44" spans="1:23" ht="16.5" customHeight="1">
      <c r="A44" s="1437" t="s">
        <v>2092</v>
      </c>
      <c r="B44" s="792" t="s">
        <v>2077</v>
      </c>
      <c r="C44" s="792" t="s">
        <v>47</v>
      </c>
      <c r="D44" s="792">
        <v>651.19000000000005</v>
      </c>
      <c r="E44" s="792" t="s">
        <v>47</v>
      </c>
      <c r="F44" s="792">
        <v>769.14</v>
      </c>
      <c r="G44" s="792" t="s">
        <v>47</v>
      </c>
      <c r="H44" s="792">
        <v>530.44000000000005</v>
      </c>
      <c r="I44" s="1049"/>
      <c r="J44" s="1049">
        <v>552.09</v>
      </c>
      <c r="K44" s="1049"/>
      <c r="L44" s="1049">
        <v>687.22008860000005</v>
      </c>
      <c r="M44" s="1049"/>
      <c r="N44" s="1049">
        <v>574.64927339999997</v>
      </c>
      <c r="O44" s="1050">
        <v>0</v>
      </c>
      <c r="P44" s="1050">
        <v>435.50216260000002</v>
      </c>
      <c r="Q44" s="1048">
        <v>0</v>
      </c>
      <c r="R44" s="1048">
        <v>529.93875969999999</v>
      </c>
      <c r="S44" s="1050">
        <v>0</v>
      </c>
      <c r="T44" s="1050">
        <v>858.25951469999995</v>
      </c>
      <c r="U44" s="1438" t="s">
        <v>2091</v>
      </c>
      <c r="V44" s="1047"/>
      <c r="W44" s="1850"/>
    </row>
    <row r="45" spans="1:23" ht="16.5" customHeight="1">
      <c r="A45" s="1437" t="s">
        <v>2090</v>
      </c>
      <c r="B45" s="792" t="s">
        <v>2077</v>
      </c>
      <c r="C45" s="792">
        <v>22.95</v>
      </c>
      <c r="D45" s="792">
        <v>460.8</v>
      </c>
      <c r="E45" s="792">
        <v>22.69</v>
      </c>
      <c r="F45" s="792">
        <v>483.41</v>
      </c>
      <c r="G45" s="792">
        <v>22.02</v>
      </c>
      <c r="H45" s="792">
        <v>546.71</v>
      </c>
      <c r="I45" s="1049">
        <v>20.7</v>
      </c>
      <c r="J45" s="1049">
        <v>507.32</v>
      </c>
      <c r="K45" s="1049">
        <v>19.694690999999999</v>
      </c>
      <c r="L45" s="1049">
        <v>571.43330460000004</v>
      </c>
      <c r="M45" s="1049">
        <v>16.949411999999999</v>
      </c>
      <c r="N45" s="1049">
        <v>541.61087710000004</v>
      </c>
      <c r="O45" s="1050">
        <v>15.695017999999999</v>
      </c>
      <c r="P45" s="1050">
        <v>575.98772499999995</v>
      </c>
      <c r="Q45" s="1048">
        <v>23.695482999999999</v>
      </c>
      <c r="R45" s="1048">
        <v>772.40327009999999</v>
      </c>
      <c r="S45" s="1050">
        <v>17.364163000000001</v>
      </c>
      <c r="T45" s="1050">
        <v>586.19495710000001</v>
      </c>
      <c r="U45" s="1438" t="s">
        <v>2089</v>
      </c>
      <c r="V45" s="1047"/>
      <c r="W45" s="1850"/>
    </row>
    <row r="46" spans="1:23" ht="16.5" customHeight="1">
      <c r="A46" s="1437" t="s">
        <v>2088</v>
      </c>
      <c r="B46" s="792" t="s">
        <v>2077</v>
      </c>
      <c r="C46" s="792" t="s">
        <v>47</v>
      </c>
      <c r="D46" s="792">
        <v>2264.89</v>
      </c>
      <c r="E46" s="792" t="s">
        <v>47</v>
      </c>
      <c r="F46" s="792">
        <v>2030.92</v>
      </c>
      <c r="G46" s="792" t="s">
        <v>47</v>
      </c>
      <c r="H46" s="792">
        <v>2004.79</v>
      </c>
      <c r="I46" s="1049"/>
      <c r="J46" s="1049">
        <v>2105.7800000000002</v>
      </c>
      <c r="K46" s="1049">
        <v>2316.0193100000001</v>
      </c>
      <c r="L46" s="1049">
        <v>2103.9657498000001</v>
      </c>
      <c r="M46" s="1049">
        <v>1394.53181</v>
      </c>
      <c r="N46" s="1049">
        <v>1649.3091546000001</v>
      </c>
      <c r="O46" s="1050">
        <v>2503.3315600000001</v>
      </c>
      <c r="P46" s="1050">
        <v>2446.8210036999999</v>
      </c>
      <c r="Q46" s="1048">
        <v>200.92115000000001</v>
      </c>
      <c r="R46" s="1048">
        <v>2042.810917</v>
      </c>
      <c r="S46" s="1050">
        <v>190.22209100000001</v>
      </c>
      <c r="T46" s="1050">
        <v>2146.1799382999998</v>
      </c>
      <c r="U46" s="1438" t="s">
        <v>2087</v>
      </c>
      <c r="V46" s="1047"/>
      <c r="W46" s="1850"/>
    </row>
    <row r="47" spans="1:23" ht="16.5" customHeight="1">
      <c r="A47" s="1437" t="s">
        <v>2086</v>
      </c>
      <c r="B47" s="792" t="s">
        <v>2077</v>
      </c>
      <c r="C47" s="792">
        <v>1231.81</v>
      </c>
      <c r="D47" s="792">
        <v>33688.379999999997</v>
      </c>
      <c r="E47" s="792">
        <v>978.04</v>
      </c>
      <c r="F47" s="792">
        <v>31219.48</v>
      </c>
      <c r="G47" s="792">
        <v>1185.27</v>
      </c>
      <c r="H47" s="792">
        <v>39593.78</v>
      </c>
      <c r="I47" s="1049">
        <v>1432.46</v>
      </c>
      <c r="J47" s="1049">
        <v>47646.41</v>
      </c>
      <c r="K47" s="1049">
        <v>1672.3861139999999</v>
      </c>
      <c r="L47" s="1049">
        <v>47664.937987999998</v>
      </c>
      <c r="M47" s="1049">
        <v>1329.031201</v>
      </c>
      <c r="N47" s="1049">
        <v>47618.104513799997</v>
      </c>
      <c r="O47" s="1050">
        <v>1167.7581600000001</v>
      </c>
      <c r="P47" s="1048">
        <v>44175.753676200002</v>
      </c>
      <c r="Q47" s="1048">
        <v>1398.014068</v>
      </c>
      <c r="R47" s="1048">
        <v>57910.361736899999</v>
      </c>
      <c r="S47" s="1050">
        <v>1443.4063659999999</v>
      </c>
      <c r="T47" s="1050">
        <v>54961.111280500001</v>
      </c>
      <c r="U47" s="1438" t="s">
        <v>2085</v>
      </c>
      <c r="V47" s="1047"/>
      <c r="W47" s="1850"/>
    </row>
    <row r="48" spans="1:23" ht="16.5" customHeight="1">
      <c r="A48" s="1437" t="s">
        <v>2084</v>
      </c>
      <c r="B48" s="792" t="s">
        <v>2077</v>
      </c>
      <c r="C48" s="792">
        <v>92.06</v>
      </c>
      <c r="D48" s="792">
        <v>2169.4899999999998</v>
      </c>
      <c r="E48" s="792">
        <v>95.88</v>
      </c>
      <c r="F48" s="792">
        <v>2385.4899999999998</v>
      </c>
      <c r="G48" s="792">
        <v>83.36</v>
      </c>
      <c r="H48" s="792">
        <v>2693.57</v>
      </c>
      <c r="I48" s="1049">
        <v>89.1</v>
      </c>
      <c r="J48" s="1049">
        <v>2940.06</v>
      </c>
      <c r="K48" s="1049">
        <v>108.05105500000001</v>
      </c>
      <c r="L48" s="1049">
        <v>3127.2613802000001</v>
      </c>
      <c r="M48" s="1049">
        <v>92.241986999999995</v>
      </c>
      <c r="N48" s="1049">
        <v>3033.0366981000002</v>
      </c>
      <c r="O48" s="1050">
        <v>120.55842800000001</v>
      </c>
      <c r="P48" s="1050">
        <v>3997.0546064999999</v>
      </c>
      <c r="Q48" s="1048">
        <v>126.112132</v>
      </c>
      <c r="R48" s="1048">
        <v>4563.5183176999999</v>
      </c>
      <c r="S48" s="1050">
        <v>100.10118900000001</v>
      </c>
      <c r="T48" s="1050">
        <v>4143.7726332000002</v>
      </c>
      <c r="U48" s="1438" t="s">
        <v>2083</v>
      </c>
      <c r="V48" s="1047"/>
      <c r="W48" s="1850"/>
    </row>
    <row r="49" spans="1:23" ht="16.5" customHeight="1">
      <c r="A49" s="1437" t="s">
        <v>2082</v>
      </c>
      <c r="B49" s="792" t="s">
        <v>2077</v>
      </c>
      <c r="C49" s="792">
        <v>37.39</v>
      </c>
      <c r="D49" s="792">
        <v>119.2</v>
      </c>
      <c r="E49" s="792">
        <v>25.11</v>
      </c>
      <c r="F49" s="792">
        <v>113.58</v>
      </c>
      <c r="G49" s="792">
        <v>18.18</v>
      </c>
      <c r="H49" s="792">
        <v>76.63</v>
      </c>
      <c r="I49" s="1049">
        <v>27.2</v>
      </c>
      <c r="J49" s="1049">
        <v>95.43</v>
      </c>
      <c r="K49" s="1049">
        <v>25.652999999999999</v>
      </c>
      <c r="L49" s="1049">
        <v>107.73926350000001</v>
      </c>
      <c r="M49" s="1049">
        <v>21.658000000000001</v>
      </c>
      <c r="N49" s="1049">
        <v>103.4836732</v>
      </c>
      <c r="O49" s="1050">
        <v>30.555</v>
      </c>
      <c r="P49" s="1050">
        <v>191.49426220000001</v>
      </c>
      <c r="Q49" s="1048">
        <v>3.1949999999999999E-2</v>
      </c>
      <c r="R49" s="1048">
        <v>222.63089980000001</v>
      </c>
      <c r="S49" s="1050">
        <v>2.6547999999999999E-2</v>
      </c>
      <c r="T49" s="1050">
        <v>160.23650040000001</v>
      </c>
      <c r="U49" s="1438" t="s">
        <v>2181</v>
      </c>
      <c r="V49" s="1047"/>
      <c r="W49" s="1850"/>
    </row>
    <row r="50" spans="1:23" ht="16.5" customHeight="1">
      <c r="A50" s="1437" t="s">
        <v>2080</v>
      </c>
      <c r="B50" s="792" t="s">
        <v>2077</v>
      </c>
      <c r="C50" s="792" t="s">
        <v>47</v>
      </c>
      <c r="D50" s="792">
        <v>770.08</v>
      </c>
      <c r="E50" s="792" t="s">
        <v>47</v>
      </c>
      <c r="F50" s="792">
        <v>824.89</v>
      </c>
      <c r="G50" s="792" t="s">
        <v>47</v>
      </c>
      <c r="H50" s="792">
        <v>927.32</v>
      </c>
      <c r="I50" s="1049"/>
      <c r="J50" s="1049">
        <v>909.94</v>
      </c>
      <c r="K50" s="1049"/>
      <c r="L50" s="1049">
        <v>795.76615379999998</v>
      </c>
      <c r="M50" s="1049"/>
      <c r="N50" s="1049">
        <v>729.54421590000004</v>
      </c>
      <c r="O50" s="1050">
        <v>0</v>
      </c>
      <c r="P50" s="1050">
        <v>803.88365380000005</v>
      </c>
      <c r="Q50" s="1048">
        <v>0</v>
      </c>
      <c r="R50" s="1048">
        <v>1104.6352300000001</v>
      </c>
      <c r="S50" s="1050">
        <v>0</v>
      </c>
      <c r="T50" s="1050">
        <v>917.30355510000004</v>
      </c>
      <c r="U50" s="1438" t="s">
        <v>2180</v>
      </c>
      <c r="V50" s="1047"/>
      <c r="W50" s="1850"/>
    </row>
    <row r="51" spans="1:23" ht="28.5" customHeight="1">
      <c r="A51" s="1440" t="s">
        <v>2078</v>
      </c>
      <c r="B51" s="91" t="s">
        <v>2077</v>
      </c>
      <c r="C51" s="91">
        <v>1142.53</v>
      </c>
      <c r="D51" s="91">
        <v>11642.64</v>
      </c>
      <c r="E51" s="91">
        <v>1347.07</v>
      </c>
      <c r="F51" s="91">
        <v>12821.13</v>
      </c>
      <c r="G51" s="91">
        <v>996.09</v>
      </c>
      <c r="H51" s="91">
        <v>10907.32</v>
      </c>
      <c r="I51" s="1061">
        <v>1101.47</v>
      </c>
      <c r="J51" s="1061">
        <v>12200.05</v>
      </c>
      <c r="K51" s="1060">
        <v>1143.0709999999999</v>
      </c>
      <c r="L51" s="1060">
        <v>14627.548518899999</v>
      </c>
      <c r="M51" s="1060">
        <v>657.80799999999999</v>
      </c>
      <c r="N51" s="1060">
        <v>7539.5305048999999</v>
      </c>
      <c r="O51" s="119">
        <v>1213.98</v>
      </c>
      <c r="P51" s="36">
        <v>13968.376688099999</v>
      </c>
      <c r="Q51" s="792">
        <v>1.258626</v>
      </c>
      <c r="R51" s="1048">
        <v>21007.0387653</v>
      </c>
      <c r="S51" s="1050">
        <v>0.22995299999999999</v>
      </c>
      <c r="T51" s="1050">
        <v>4600.2230142999997</v>
      </c>
      <c r="U51" s="217" t="s">
        <v>2076</v>
      </c>
      <c r="V51" s="1047"/>
      <c r="W51" s="1850"/>
    </row>
    <row r="52" spans="1:23">
      <c r="A52" s="1437" t="s">
        <v>2075</v>
      </c>
      <c r="B52" s="893"/>
      <c r="C52" s="893" t="s">
        <v>47</v>
      </c>
      <c r="D52" s="893">
        <f>SUM(D6:D51)</f>
        <v>239681.05</v>
      </c>
      <c r="E52" s="893" t="s">
        <v>47</v>
      </c>
      <c r="F52" s="893">
        <f>SUM(F6:F51)</f>
        <v>215396.31000000006</v>
      </c>
      <c r="G52" s="893" t="s">
        <v>47</v>
      </c>
      <c r="H52" s="893">
        <f>SUM(H6:H51)</f>
        <v>226651.91999999998</v>
      </c>
      <c r="I52" s="1045"/>
      <c r="J52" s="1045">
        <f>SUM(J6:J51)</f>
        <v>251563.96</v>
      </c>
      <c r="K52" s="1045"/>
      <c r="L52" s="1045">
        <v>274571.27644470002</v>
      </c>
      <c r="M52" s="1045"/>
      <c r="N52" s="1045">
        <v>252976.06310980004</v>
      </c>
      <c r="O52" s="1059"/>
      <c r="P52" s="1045">
        <f>SUM(P6:P51)</f>
        <v>310811.43725720007</v>
      </c>
      <c r="Q52" s="1059"/>
      <c r="R52" s="1045">
        <f>SUM(R6:R51)</f>
        <v>375662.4705382</v>
      </c>
      <c r="S52" s="1045"/>
      <c r="T52" s="1045">
        <f>SUM(T6:T51)</f>
        <v>347128.33412599994</v>
      </c>
      <c r="U52" s="1441" t="s">
        <v>2179</v>
      </c>
    </row>
    <row r="53" spans="1:23" ht="16.5" customHeight="1">
      <c r="A53" s="1437" t="s">
        <v>2073</v>
      </c>
      <c r="B53" s="893"/>
      <c r="C53" s="893" t="s">
        <v>47</v>
      </c>
      <c r="D53" s="893">
        <v>1896348.42</v>
      </c>
      <c r="E53" s="893" t="s">
        <v>47</v>
      </c>
      <c r="F53" s="893">
        <v>1716384.4</v>
      </c>
      <c r="G53" s="893" t="s">
        <v>47</v>
      </c>
      <c r="H53" s="893">
        <v>1849433.55</v>
      </c>
      <c r="I53" s="1045"/>
      <c r="J53" s="1045">
        <v>1956514.53</v>
      </c>
      <c r="K53" s="1045"/>
      <c r="L53" s="1045">
        <v>2307726.19</v>
      </c>
      <c r="M53" s="1045"/>
      <c r="N53" s="1045">
        <v>2219854</v>
      </c>
      <c r="O53" s="1059"/>
      <c r="P53" s="1045">
        <v>2159043.2213062001</v>
      </c>
      <c r="Q53" s="1059"/>
      <c r="R53" s="1045">
        <v>2266092.2212868999</v>
      </c>
      <c r="S53" s="1045"/>
      <c r="T53" s="1045">
        <f>2556900000/1000</f>
        <v>2556900</v>
      </c>
      <c r="U53" s="1441" t="s">
        <v>2178</v>
      </c>
    </row>
    <row r="54" spans="1:23" ht="36" customHeight="1">
      <c r="A54" s="1440" t="s">
        <v>2177</v>
      </c>
      <c r="B54" s="4"/>
      <c r="C54" s="4" t="s">
        <v>275</v>
      </c>
      <c r="D54" s="4">
        <v>12.64</v>
      </c>
      <c r="E54" s="4" t="s">
        <v>47</v>
      </c>
      <c r="F54" s="4">
        <v>12.55</v>
      </c>
      <c r="G54" s="4" t="s">
        <v>47</v>
      </c>
      <c r="H54" s="4">
        <v>12.26</v>
      </c>
      <c r="I54" s="1057"/>
      <c r="J54" s="1057">
        <v>12.86</v>
      </c>
      <c r="K54" s="1057"/>
      <c r="L54" s="1057">
        <f>L52/L53*100</f>
        <v>11.897913956798316</v>
      </c>
      <c r="M54" s="1057"/>
      <c r="N54" s="1057">
        <f>N52/N53*100</f>
        <v>11.396067629213455</v>
      </c>
      <c r="O54" s="1058"/>
      <c r="P54" s="1057">
        <f>P52/P53*100</f>
        <v>14.395795053568319</v>
      </c>
      <c r="Q54" s="1058"/>
      <c r="R54" s="1057">
        <f>R52/R53*100</f>
        <v>16.577545565416731</v>
      </c>
      <c r="S54" s="1057"/>
      <c r="T54" s="1057">
        <f>T52/T53*100</f>
        <v>13.57614040932379</v>
      </c>
      <c r="U54" s="1442" t="s">
        <v>2176</v>
      </c>
    </row>
    <row r="55" spans="1:23" ht="18" customHeight="1">
      <c r="A55" s="1166" t="s">
        <v>2069</v>
      </c>
      <c r="U55" s="208"/>
    </row>
    <row r="56" spans="1:23" ht="18.75" customHeight="1">
      <c r="A56" s="1056" t="s">
        <v>2068</v>
      </c>
      <c r="B56" s="273"/>
      <c r="C56" s="273"/>
      <c r="D56" s="273"/>
      <c r="E56" s="273"/>
      <c r="F56" s="273"/>
      <c r="G56" s="273"/>
      <c r="H56" s="273"/>
      <c r="I56" s="273"/>
      <c r="J56" s="273"/>
      <c r="K56" s="1443"/>
      <c r="L56" s="1443"/>
      <c r="M56" s="1443"/>
      <c r="N56" s="1443"/>
      <c r="O56" s="1443"/>
      <c r="P56" s="1443"/>
      <c r="Q56" s="1443"/>
      <c r="R56" s="1443"/>
      <c r="S56" s="1443"/>
      <c r="T56" s="1443"/>
      <c r="U56" s="208"/>
    </row>
    <row r="57" spans="1:23" ht="15.75" thickBot="1">
      <c r="A57" s="1044" t="s">
        <v>2067</v>
      </c>
      <c r="B57" s="206"/>
      <c r="C57" s="206"/>
      <c r="D57" s="206"/>
      <c r="E57" s="206"/>
      <c r="F57" s="206"/>
      <c r="G57" s="206"/>
      <c r="H57" s="206"/>
      <c r="I57" s="206"/>
      <c r="J57" s="206"/>
      <c r="K57" s="206"/>
      <c r="L57" s="206"/>
      <c r="M57" s="206"/>
      <c r="N57" s="206"/>
      <c r="O57" s="206"/>
      <c r="P57" s="206"/>
      <c r="Q57" s="206"/>
      <c r="R57" s="206"/>
      <c r="S57" s="206"/>
      <c r="T57" s="206"/>
      <c r="U57" s="168"/>
    </row>
    <row r="58" spans="1:23" ht="15.75" thickTop="1"/>
  </sheetData>
  <mergeCells count="14">
    <mergeCell ref="A1:U1"/>
    <mergeCell ref="A2:U2"/>
    <mergeCell ref="C4:D4"/>
    <mergeCell ref="E4:F4"/>
    <mergeCell ref="G4:H4"/>
    <mergeCell ref="I4:J4"/>
    <mergeCell ref="U4:U5"/>
    <mergeCell ref="B4:B5"/>
    <mergeCell ref="A4:A5"/>
    <mergeCell ref="K4:L4"/>
    <mergeCell ref="M4:N4"/>
    <mergeCell ref="O4:P4"/>
    <mergeCell ref="Q4:R4"/>
    <mergeCell ref="S4:T4"/>
  </mergeCells>
  <conditionalFormatting sqref="V6:V51 Y6:XFD51 V4:XFD5 V52:XFD55">
    <cfRule type="expression" dxfId="25" priority="4">
      <formula>MOD(ROW(),3)=1</formula>
    </cfRule>
  </conditionalFormatting>
  <conditionalFormatting sqref="A6:U54">
    <cfRule type="expression" dxfId="24" priority="2">
      <formula>MOD(ROW(),3)=1</formula>
    </cfRule>
  </conditionalFormatting>
  <printOptions horizontalCentered="1"/>
  <pageMargins left="0.66929133858267698" right="0.15748031496063" top="0.55118110236220497" bottom="0.74803149606299202" header="0.31496062992126" footer="0.31496062992126"/>
  <pageSetup paperSize="9" scale="65" orientation="portrait" r:id="rId1"/>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171"/>
  <sheetViews>
    <sheetView view="pageBreakPreview" zoomScaleSheetLayoutView="100" workbookViewId="0">
      <selection activeCell="S17" sqref="S17"/>
    </sheetView>
  </sheetViews>
  <sheetFormatPr defaultColWidth="9.140625" defaultRowHeight="15"/>
  <cols>
    <col min="1" max="1" width="6.85546875" style="1" customWidth="1"/>
    <col min="2" max="2" width="25.28515625" style="1" customWidth="1"/>
    <col min="3" max="3" width="7" style="1" customWidth="1"/>
    <col min="4" max="4" width="7.5703125" style="1" hidden="1" customWidth="1"/>
    <col min="5" max="5" width="6.5703125" style="1" customWidth="1"/>
    <col min="6" max="6" width="7.42578125" style="1" customWidth="1"/>
    <col min="7" max="7" width="6.5703125" style="1" customWidth="1"/>
    <col min="8" max="8" width="6.85546875" style="1" customWidth="1"/>
    <col min="9" max="9" width="6.5703125" style="1" customWidth="1"/>
    <col min="10" max="10" width="6.85546875" style="1" customWidth="1"/>
    <col min="11" max="11" width="6.42578125" style="1" customWidth="1"/>
    <col min="12" max="13" width="7.140625" style="1" customWidth="1"/>
    <col min="14" max="14" width="6.85546875" style="1" customWidth="1"/>
    <col min="15" max="15" width="8.140625" style="1" customWidth="1"/>
    <col min="16" max="16" width="7.42578125" style="1" customWidth="1"/>
    <col min="17" max="17" width="20.85546875" style="1" customWidth="1"/>
    <col min="18" max="16384" width="9.140625" style="1"/>
  </cols>
  <sheetData>
    <row r="1" spans="1:19" s="226" customFormat="1" ht="18.75" customHeight="1" thickTop="1">
      <c r="A1" s="2229" t="s">
        <v>2805</v>
      </c>
      <c r="B1" s="2230"/>
      <c r="C1" s="2230"/>
      <c r="D1" s="2230"/>
      <c r="E1" s="2230"/>
      <c r="F1" s="2230"/>
      <c r="G1" s="2230"/>
      <c r="H1" s="2230"/>
      <c r="I1" s="2230"/>
      <c r="J1" s="2230"/>
      <c r="K1" s="2230"/>
      <c r="L1" s="2230"/>
      <c r="M1" s="2230"/>
      <c r="N1" s="2230"/>
      <c r="O1" s="2230"/>
      <c r="P1" s="2230"/>
      <c r="Q1" s="2231"/>
    </row>
    <row r="2" spans="1:19" s="226" customFormat="1" ht="18.75" customHeight="1">
      <c r="A2" s="2401" t="s">
        <v>2806</v>
      </c>
      <c r="B2" s="2402"/>
      <c r="C2" s="2402"/>
      <c r="D2" s="2402"/>
      <c r="E2" s="2402"/>
      <c r="F2" s="2402"/>
      <c r="G2" s="2402"/>
      <c r="H2" s="2402"/>
      <c r="I2" s="2402"/>
      <c r="J2" s="2402"/>
      <c r="K2" s="2402"/>
      <c r="L2" s="2402"/>
      <c r="M2" s="2402"/>
      <c r="N2" s="2402"/>
      <c r="O2" s="2402"/>
      <c r="P2" s="2402"/>
      <c r="Q2" s="2403"/>
    </row>
    <row r="3" spans="1:19" s="50" customFormat="1" ht="44.25" customHeight="1">
      <c r="A3" s="2404" t="s">
        <v>687</v>
      </c>
      <c r="B3" s="2405"/>
      <c r="C3" s="2405"/>
      <c r="D3" s="2405"/>
      <c r="E3" s="2405"/>
      <c r="F3" s="2405"/>
      <c r="G3" s="2405"/>
      <c r="H3" s="2405"/>
      <c r="I3" s="2405"/>
      <c r="J3" s="2405"/>
      <c r="K3" s="2405"/>
      <c r="L3" s="2405"/>
      <c r="M3" s="2405"/>
      <c r="N3" s="2405"/>
      <c r="O3" s="2405"/>
      <c r="P3" s="2405"/>
      <c r="Q3" s="2406"/>
      <c r="S3" s="371"/>
    </row>
    <row r="4" spans="1:19" s="81" customFormat="1" ht="51.75" customHeight="1">
      <c r="A4" s="1122" t="s">
        <v>686</v>
      </c>
      <c r="B4" s="80" t="s">
        <v>195</v>
      </c>
      <c r="C4" s="1126">
        <v>1951</v>
      </c>
      <c r="D4" s="80">
        <v>1956</v>
      </c>
      <c r="E4" s="80">
        <v>1961</v>
      </c>
      <c r="F4" s="80">
        <v>1966</v>
      </c>
      <c r="G4" s="80">
        <v>1972</v>
      </c>
      <c r="H4" s="80">
        <v>1977</v>
      </c>
      <c r="I4" s="80">
        <v>1982</v>
      </c>
      <c r="J4" s="80">
        <v>1987</v>
      </c>
      <c r="K4" s="80">
        <v>1992</v>
      </c>
      <c r="L4" s="80">
        <v>1997</v>
      </c>
      <c r="M4" s="80">
        <v>2003</v>
      </c>
      <c r="N4" s="80">
        <v>2007</v>
      </c>
      <c r="O4" s="80">
        <v>2012</v>
      </c>
      <c r="P4" s="80">
        <v>2019</v>
      </c>
      <c r="Q4" s="1156" t="s">
        <v>51</v>
      </c>
    </row>
    <row r="5" spans="1:19" s="7" customFormat="1" ht="21.95" customHeight="1">
      <c r="A5" s="1157">
        <v>1</v>
      </c>
      <c r="B5" s="5" t="s">
        <v>181</v>
      </c>
      <c r="C5" s="266">
        <v>155.30000000000001</v>
      </c>
      <c r="D5" s="36">
        <v>158.69999999999999</v>
      </c>
      <c r="E5" s="36">
        <v>175.6</v>
      </c>
      <c r="F5" s="36">
        <v>176.2</v>
      </c>
      <c r="G5" s="36">
        <v>178.3</v>
      </c>
      <c r="H5" s="36">
        <v>180</v>
      </c>
      <c r="I5" s="36">
        <v>192.45</v>
      </c>
      <c r="J5" s="36">
        <v>199.69</v>
      </c>
      <c r="K5" s="36">
        <v>204.58</v>
      </c>
      <c r="L5" s="36">
        <v>198.88</v>
      </c>
      <c r="M5" s="36">
        <v>185.18</v>
      </c>
      <c r="N5" s="36">
        <v>199.08</v>
      </c>
      <c r="O5" s="36">
        <v>190.9</v>
      </c>
      <c r="P5" s="36">
        <v>193.46</v>
      </c>
      <c r="Q5" s="630" t="s">
        <v>44</v>
      </c>
    </row>
    <row r="6" spans="1:19" s="7" customFormat="1" ht="21.95" customHeight="1">
      <c r="A6" s="1157">
        <v>2</v>
      </c>
      <c r="B6" s="5" t="s">
        <v>271</v>
      </c>
      <c r="C6" s="266">
        <v>54.4</v>
      </c>
      <c r="D6" s="36">
        <v>47.3</v>
      </c>
      <c r="E6" s="36">
        <v>51</v>
      </c>
      <c r="F6" s="36">
        <v>51.8</v>
      </c>
      <c r="G6" s="36">
        <v>53.4</v>
      </c>
      <c r="H6" s="36">
        <v>54.6</v>
      </c>
      <c r="I6" s="36">
        <v>59.21</v>
      </c>
      <c r="J6" s="36">
        <v>62.07</v>
      </c>
      <c r="K6" s="36">
        <v>64.36</v>
      </c>
      <c r="L6" s="36">
        <v>64.430000000000007</v>
      </c>
      <c r="M6" s="36">
        <v>64.510000000000005</v>
      </c>
      <c r="N6" s="36">
        <v>72.915999999999997</v>
      </c>
      <c r="O6" s="36">
        <v>76.685000000000002</v>
      </c>
      <c r="P6" s="36">
        <v>81.39</v>
      </c>
      <c r="Q6" s="630" t="s">
        <v>52</v>
      </c>
    </row>
    <row r="7" spans="1:19" s="7" customFormat="1" ht="21.95" customHeight="1">
      <c r="A7" s="1157">
        <v>3</v>
      </c>
      <c r="B7" s="5" t="s">
        <v>182</v>
      </c>
      <c r="C7" s="266">
        <v>43.4</v>
      </c>
      <c r="D7" s="36">
        <v>44.9</v>
      </c>
      <c r="E7" s="36">
        <v>51.2</v>
      </c>
      <c r="F7" s="36">
        <v>53</v>
      </c>
      <c r="G7" s="36">
        <v>57.4</v>
      </c>
      <c r="H7" s="36">
        <v>62</v>
      </c>
      <c r="I7" s="36">
        <v>69.78</v>
      </c>
      <c r="J7" s="36">
        <v>75.97</v>
      </c>
      <c r="K7" s="36">
        <v>84.21</v>
      </c>
      <c r="L7" s="36">
        <v>89.92</v>
      </c>
      <c r="M7" s="36">
        <v>97.92</v>
      </c>
      <c r="N7" s="36">
        <v>105.34</v>
      </c>
      <c r="O7" s="36">
        <v>108.7</v>
      </c>
      <c r="P7" s="36">
        <v>109.85</v>
      </c>
      <c r="Q7" s="630" t="s">
        <v>53</v>
      </c>
    </row>
    <row r="8" spans="1:19" s="7" customFormat="1" ht="30" customHeight="1">
      <c r="A8" s="1157">
        <v>4</v>
      </c>
      <c r="B8" s="5" t="s">
        <v>642</v>
      </c>
      <c r="C8" s="266">
        <v>21</v>
      </c>
      <c r="D8" s="36">
        <v>21.7</v>
      </c>
      <c r="E8" s="36">
        <v>24.3</v>
      </c>
      <c r="F8" s="36">
        <v>25.4</v>
      </c>
      <c r="G8" s="36">
        <v>28.6</v>
      </c>
      <c r="H8" s="36">
        <v>31.3</v>
      </c>
      <c r="I8" s="36">
        <v>32.5</v>
      </c>
      <c r="J8" s="36">
        <v>39.130000000000003</v>
      </c>
      <c r="K8" s="36">
        <v>43.81</v>
      </c>
      <c r="L8" s="36">
        <v>46.77</v>
      </c>
      <c r="M8" s="36">
        <v>50.97</v>
      </c>
      <c r="N8" s="36">
        <v>54.47</v>
      </c>
      <c r="O8" s="36">
        <v>56.59</v>
      </c>
      <c r="P8" s="36">
        <v>55.07</v>
      </c>
      <c r="Q8" s="862" t="s">
        <v>54</v>
      </c>
    </row>
    <row r="9" spans="1:19" s="7" customFormat="1" ht="21.95" customHeight="1">
      <c r="A9" s="1157">
        <v>5</v>
      </c>
      <c r="B9" s="5" t="s">
        <v>183</v>
      </c>
      <c r="C9" s="266">
        <v>198.7</v>
      </c>
      <c r="D9" s="36">
        <v>203.6</v>
      </c>
      <c r="E9" s="36">
        <v>226.8</v>
      </c>
      <c r="F9" s="36">
        <v>229.2</v>
      </c>
      <c r="G9" s="36">
        <v>235.7</v>
      </c>
      <c r="H9" s="36">
        <v>242</v>
      </c>
      <c r="I9" s="36">
        <v>262.36</v>
      </c>
      <c r="J9" s="36">
        <v>275.82</v>
      </c>
      <c r="K9" s="36">
        <v>289</v>
      </c>
      <c r="L9" s="36">
        <v>288.8</v>
      </c>
      <c r="M9" s="36">
        <v>283.10000000000002</v>
      </c>
      <c r="N9" s="36">
        <v>304.42</v>
      </c>
      <c r="O9" s="36">
        <v>299.98</v>
      </c>
      <c r="P9" s="36">
        <v>303.31</v>
      </c>
      <c r="Q9" s="630" t="s">
        <v>55</v>
      </c>
    </row>
    <row r="10" spans="1:19" s="7" customFormat="1" ht="21.95" customHeight="1">
      <c r="A10" s="1157">
        <v>6</v>
      </c>
      <c r="B10" s="5" t="s">
        <v>184</v>
      </c>
      <c r="C10" s="266">
        <v>39.1</v>
      </c>
      <c r="D10" s="36">
        <v>39.299999999999997</v>
      </c>
      <c r="E10" s="36">
        <v>40.200000000000003</v>
      </c>
      <c r="F10" s="36">
        <v>42.4</v>
      </c>
      <c r="G10" s="36">
        <v>40</v>
      </c>
      <c r="H10" s="36">
        <v>41</v>
      </c>
      <c r="I10" s="36">
        <v>48.76</v>
      </c>
      <c r="J10" s="36">
        <v>45.7</v>
      </c>
      <c r="K10" s="36">
        <v>50.78</v>
      </c>
      <c r="L10" s="36">
        <v>57.49</v>
      </c>
      <c r="M10" s="36">
        <v>61.47</v>
      </c>
      <c r="N10" s="36">
        <v>71.56</v>
      </c>
      <c r="O10" s="36">
        <v>65.069999999999993</v>
      </c>
      <c r="P10" s="36">
        <v>74.260000000000005</v>
      </c>
      <c r="Q10" s="630" t="s">
        <v>45</v>
      </c>
    </row>
    <row r="11" spans="1:19" s="7" customFormat="1" ht="21.95" customHeight="1">
      <c r="A11" s="1157">
        <v>7</v>
      </c>
      <c r="B11" s="5" t="s">
        <v>185</v>
      </c>
      <c r="C11" s="266">
        <v>47.2</v>
      </c>
      <c r="D11" s="36">
        <v>55.4</v>
      </c>
      <c r="E11" s="36">
        <v>60.9</v>
      </c>
      <c r="F11" s="36">
        <v>64.599999999999994</v>
      </c>
      <c r="G11" s="36">
        <v>67.5</v>
      </c>
      <c r="H11" s="36">
        <v>75.599999999999994</v>
      </c>
      <c r="I11" s="36">
        <v>95.25</v>
      </c>
      <c r="J11" s="36">
        <v>110.21</v>
      </c>
      <c r="K11" s="36">
        <v>115.28</v>
      </c>
      <c r="L11" s="36">
        <v>122.72</v>
      </c>
      <c r="M11" s="36">
        <v>124.36</v>
      </c>
      <c r="N11" s="36">
        <v>140.54</v>
      </c>
      <c r="O11" s="36">
        <v>135.16999999999999</v>
      </c>
      <c r="P11" s="36">
        <v>148.88499999999999</v>
      </c>
      <c r="Q11" s="630" t="s">
        <v>56</v>
      </c>
    </row>
    <row r="12" spans="1:19" s="7" customFormat="1" ht="21.95" customHeight="1">
      <c r="A12" s="1157">
        <v>8</v>
      </c>
      <c r="B12" s="5" t="s">
        <v>186</v>
      </c>
      <c r="C12" s="266">
        <v>4.5</v>
      </c>
      <c r="D12" s="36">
        <v>1.5</v>
      </c>
      <c r="E12" s="36">
        <v>1.3</v>
      </c>
      <c r="F12" s="36">
        <v>1.1000000000000001</v>
      </c>
      <c r="G12" s="36">
        <v>0.9</v>
      </c>
      <c r="H12" s="36">
        <v>0.9</v>
      </c>
      <c r="I12" s="36">
        <v>0.9</v>
      </c>
      <c r="J12" s="36">
        <v>0.8</v>
      </c>
      <c r="K12" s="36">
        <v>0.82</v>
      </c>
      <c r="L12" s="36">
        <v>0.83</v>
      </c>
      <c r="M12" s="36">
        <v>0.75</v>
      </c>
      <c r="N12" s="36">
        <v>0.61</v>
      </c>
      <c r="O12" s="36">
        <v>0.63</v>
      </c>
      <c r="P12" s="36">
        <v>0.34200000000000003</v>
      </c>
      <c r="Q12" s="630" t="s">
        <v>57</v>
      </c>
    </row>
    <row r="13" spans="1:19" s="7" customFormat="1" ht="21.95" customHeight="1">
      <c r="A13" s="1157">
        <v>9</v>
      </c>
      <c r="B13" s="5" t="s">
        <v>187</v>
      </c>
      <c r="C13" s="266">
        <v>0.6</v>
      </c>
      <c r="D13" s="36">
        <v>0.8</v>
      </c>
      <c r="E13" s="36">
        <v>0.9</v>
      </c>
      <c r="F13" s="36">
        <v>1</v>
      </c>
      <c r="G13" s="36">
        <v>1.1000000000000001</v>
      </c>
      <c r="H13" s="36">
        <v>1.1000000000000001</v>
      </c>
      <c r="I13" s="36">
        <v>1.08</v>
      </c>
      <c r="J13" s="36">
        <v>1</v>
      </c>
      <c r="K13" s="36">
        <v>1.03</v>
      </c>
      <c r="L13" s="36">
        <v>0.91</v>
      </c>
      <c r="M13" s="36">
        <v>0.63</v>
      </c>
      <c r="N13" s="36">
        <v>0.52</v>
      </c>
      <c r="O13" s="36">
        <v>0.4</v>
      </c>
      <c r="P13" s="36">
        <v>0.252</v>
      </c>
      <c r="Q13" s="630" t="s">
        <v>58</v>
      </c>
    </row>
    <row r="14" spans="1:19" s="7" customFormat="1" ht="21.95" customHeight="1">
      <c r="A14" s="1157">
        <v>10</v>
      </c>
      <c r="B14" s="5" t="s">
        <v>188</v>
      </c>
      <c r="C14" s="266">
        <v>4.4000000000000004</v>
      </c>
      <c r="D14" s="36">
        <v>4.9000000000000004</v>
      </c>
      <c r="E14" s="36">
        <v>5.2</v>
      </c>
      <c r="F14" s="36">
        <v>5</v>
      </c>
      <c r="G14" s="36">
        <v>6.9</v>
      </c>
      <c r="H14" s="36">
        <v>7.6</v>
      </c>
      <c r="I14" s="36">
        <v>10.07</v>
      </c>
      <c r="J14" s="36">
        <v>10.63</v>
      </c>
      <c r="K14" s="36">
        <v>12.79</v>
      </c>
      <c r="L14" s="36">
        <v>13.29</v>
      </c>
      <c r="M14" s="36">
        <v>13.52</v>
      </c>
      <c r="N14" s="36">
        <v>11.13</v>
      </c>
      <c r="O14" s="36">
        <v>10.29</v>
      </c>
      <c r="P14" s="36">
        <v>9.0549999999999997</v>
      </c>
      <c r="Q14" s="630" t="s">
        <v>59</v>
      </c>
    </row>
    <row r="15" spans="1:19" s="7" customFormat="1" ht="21.95" customHeight="1">
      <c r="A15" s="1157">
        <v>11</v>
      </c>
      <c r="B15" s="5" t="s">
        <v>189</v>
      </c>
      <c r="C15" s="266">
        <v>0.06</v>
      </c>
      <c r="D15" s="36">
        <v>0.04</v>
      </c>
      <c r="E15" s="36">
        <v>0.05</v>
      </c>
      <c r="F15" s="36">
        <v>0.08</v>
      </c>
      <c r="G15" s="36">
        <v>0.08</v>
      </c>
      <c r="H15" s="36">
        <v>0.09</v>
      </c>
      <c r="I15" s="36">
        <v>0.13</v>
      </c>
      <c r="J15" s="36">
        <v>0.17</v>
      </c>
      <c r="K15" s="36">
        <v>0.19</v>
      </c>
      <c r="L15" s="36">
        <v>0.22</v>
      </c>
      <c r="M15" s="36">
        <v>0.18</v>
      </c>
      <c r="N15" s="36">
        <v>0.14000000000000001</v>
      </c>
      <c r="O15" s="36">
        <v>0.2</v>
      </c>
      <c r="P15" s="36">
        <v>8.4000000000000005E-2</v>
      </c>
      <c r="Q15" s="630" t="s">
        <v>60</v>
      </c>
    </row>
    <row r="16" spans="1:19" s="7" customFormat="1" ht="21.95" customHeight="1">
      <c r="A16" s="1157">
        <v>12</v>
      </c>
      <c r="B16" s="5" t="s">
        <v>190</v>
      </c>
      <c r="C16" s="266">
        <v>1.3</v>
      </c>
      <c r="D16" s="36">
        <v>1.1000000000000001</v>
      </c>
      <c r="E16" s="36">
        <v>1.1000000000000001</v>
      </c>
      <c r="F16" s="36">
        <v>1.1000000000000001</v>
      </c>
      <c r="G16" s="36">
        <v>1</v>
      </c>
      <c r="H16" s="36">
        <v>1</v>
      </c>
      <c r="I16" s="36">
        <v>1.02</v>
      </c>
      <c r="J16" s="36">
        <v>0.96</v>
      </c>
      <c r="K16" s="36">
        <v>0.97</v>
      </c>
      <c r="L16" s="36">
        <v>0.88</v>
      </c>
      <c r="M16" s="36">
        <v>0.65</v>
      </c>
      <c r="N16" s="36">
        <v>0.44</v>
      </c>
      <c r="O16" s="36">
        <v>0.32</v>
      </c>
      <c r="P16" s="36">
        <v>0.124</v>
      </c>
      <c r="Q16" s="630" t="s">
        <v>61</v>
      </c>
    </row>
    <row r="17" spans="1:17" s="7" customFormat="1" ht="21.95" customHeight="1">
      <c r="A17" s="1157">
        <v>13</v>
      </c>
      <c r="B17" s="5" t="s">
        <v>191</v>
      </c>
      <c r="C17" s="266" t="s">
        <v>63</v>
      </c>
      <c r="D17" s="36" t="s">
        <v>63</v>
      </c>
      <c r="E17" s="36">
        <v>0.02</v>
      </c>
      <c r="F17" s="36">
        <v>0.03</v>
      </c>
      <c r="G17" s="36">
        <v>0.04</v>
      </c>
      <c r="H17" s="36">
        <v>0.13</v>
      </c>
      <c r="I17" s="36">
        <v>0.13</v>
      </c>
      <c r="J17" s="36">
        <v>0.04</v>
      </c>
      <c r="K17" s="36">
        <v>0.06</v>
      </c>
      <c r="L17" s="36">
        <v>0.06</v>
      </c>
      <c r="M17" s="36">
        <v>0.06</v>
      </c>
      <c r="N17" s="36">
        <v>0.08</v>
      </c>
      <c r="O17" s="36">
        <v>0.08</v>
      </c>
      <c r="P17" s="36">
        <v>5.8000000000000003E-2</v>
      </c>
      <c r="Q17" s="630" t="s">
        <v>62</v>
      </c>
    </row>
    <row r="18" spans="1:17" s="33" customFormat="1" ht="21.95" customHeight="1">
      <c r="A18" s="218"/>
      <c r="B18" s="30" t="s">
        <v>192</v>
      </c>
      <c r="C18" s="1154">
        <v>292.8</v>
      </c>
      <c r="D18" s="39">
        <v>306.60000000000002</v>
      </c>
      <c r="E18" s="39">
        <v>335.4</v>
      </c>
      <c r="F18" s="39">
        <v>344.1</v>
      </c>
      <c r="G18" s="39">
        <v>353.6</v>
      </c>
      <c r="H18" s="39">
        <v>369</v>
      </c>
      <c r="I18" s="39">
        <v>419.59</v>
      </c>
      <c r="J18" s="39">
        <v>445.29</v>
      </c>
      <c r="K18" s="39">
        <v>470.86</v>
      </c>
      <c r="L18" s="39">
        <v>485.39</v>
      </c>
      <c r="M18" s="39">
        <v>485</v>
      </c>
      <c r="N18" s="39">
        <v>529.70000000000005</v>
      </c>
      <c r="O18" s="39">
        <v>512.05999999999995</v>
      </c>
      <c r="P18" s="39">
        <v>536.76099999999997</v>
      </c>
      <c r="Q18" s="1212" t="s">
        <v>64</v>
      </c>
    </row>
    <row r="19" spans="1:17" s="7" customFormat="1" ht="21.95" customHeight="1">
      <c r="A19" s="1157">
        <v>15</v>
      </c>
      <c r="B19" s="5" t="s">
        <v>193</v>
      </c>
      <c r="C19" s="266">
        <v>73.5</v>
      </c>
      <c r="D19" s="36">
        <v>94.8</v>
      </c>
      <c r="E19" s="36">
        <v>114.2</v>
      </c>
      <c r="F19" s="36">
        <v>115.4</v>
      </c>
      <c r="G19" s="36">
        <v>138.5</v>
      </c>
      <c r="H19" s="36">
        <v>159.19999999999999</v>
      </c>
      <c r="I19" s="36">
        <v>207.74</v>
      </c>
      <c r="J19" s="36">
        <v>275.32</v>
      </c>
      <c r="K19" s="36">
        <v>307.07</v>
      </c>
      <c r="L19" s="36">
        <v>347.61</v>
      </c>
      <c r="M19" s="36">
        <v>489.01</v>
      </c>
      <c r="N19" s="36">
        <v>648.83000000000004</v>
      </c>
      <c r="O19" s="36">
        <v>729.21</v>
      </c>
      <c r="P19" s="36">
        <v>851.81</v>
      </c>
      <c r="Q19" s="630" t="s">
        <v>46</v>
      </c>
    </row>
    <row r="20" spans="1:17" s="7" customFormat="1" ht="21.95" customHeight="1">
      <c r="A20" s="1157">
        <v>16</v>
      </c>
      <c r="B20" s="5" t="s">
        <v>643</v>
      </c>
      <c r="C20" s="266" t="s">
        <v>63</v>
      </c>
      <c r="D20" s="36" t="s">
        <v>63</v>
      </c>
      <c r="E20" s="36" t="s">
        <v>63</v>
      </c>
      <c r="F20" s="36" t="s">
        <v>63</v>
      </c>
      <c r="G20" s="36" t="s">
        <v>63</v>
      </c>
      <c r="H20" s="36" t="s">
        <v>63</v>
      </c>
      <c r="I20" s="36">
        <v>18.54</v>
      </c>
      <c r="J20" s="36">
        <v>17.920000000000002</v>
      </c>
      <c r="K20" s="36">
        <v>21.77</v>
      </c>
      <c r="L20" s="36">
        <v>25.48</v>
      </c>
      <c r="M20" s="36">
        <v>29.03</v>
      </c>
      <c r="N20" s="36">
        <v>19.09</v>
      </c>
      <c r="O20" s="36">
        <v>11.67</v>
      </c>
      <c r="P20" s="36">
        <v>9.4339999999999993</v>
      </c>
      <c r="Q20" s="630" t="s">
        <v>65</v>
      </c>
    </row>
    <row r="21" spans="1:17" s="7" customFormat="1" ht="21.95" customHeight="1">
      <c r="A21" s="1157">
        <v>17</v>
      </c>
      <c r="B21" s="5" t="s">
        <v>194</v>
      </c>
      <c r="C21" s="266" t="s">
        <v>63</v>
      </c>
      <c r="D21" s="36" t="s">
        <v>63</v>
      </c>
      <c r="E21" s="36" t="s">
        <v>63</v>
      </c>
      <c r="F21" s="36" t="s">
        <v>63</v>
      </c>
      <c r="G21" s="36" t="s">
        <v>63</v>
      </c>
      <c r="H21" s="36" t="s">
        <v>63</v>
      </c>
      <c r="I21" s="36" t="s">
        <v>63</v>
      </c>
      <c r="J21" s="36" t="s">
        <v>63</v>
      </c>
      <c r="K21" s="36" t="s">
        <v>63</v>
      </c>
      <c r="L21" s="36" t="s">
        <v>63</v>
      </c>
      <c r="M21" s="36">
        <v>0.48</v>
      </c>
      <c r="N21" s="36">
        <v>0.42</v>
      </c>
      <c r="O21" s="36">
        <v>0.59</v>
      </c>
      <c r="P21" s="36">
        <v>0.55000000000000004</v>
      </c>
      <c r="Q21" s="630" t="s">
        <v>66</v>
      </c>
    </row>
    <row r="22" spans="1:17" ht="20.25" customHeight="1">
      <c r="A22" s="196"/>
      <c r="B22" s="7"/>
      <c r="C22" s="40"/>
      <c r="D22" s="40"/>
      <c r="E22" s="40"/>
      <c r="F22" s="40"/>
      <c r="G22" s="40"/>
      <c r="H22" s="40"/>
      <c r="I22" s="40"/>
      <c r="J22" s="40"/>
      <c r="K22" s="40"/>
      <c r="L22" s="40"/>
      <c r="M22" s="40"/>
      <c r="N22" s="40"/>
      <c r="O22" s="40"/>
      <c r="P22" s="40"/>
      <c r="Q22" s="1137"/>
    </row>
    <row r="23" spans="1:17" s="7" customFormat="1" ht="24" customHeight="1">
      <c r="A23" s="2215" t="s">
        <v>644</v>
      </c>
      <c r="B23" s="2184"/>
      <c r="C23" s="2184"/>
      <c r="D23" s="2184"/>
      <c r="E23" s="2184"/>
      <c r="F23" s="2184"/>
      <c r="G23" s="2184"/>
      <c r="H23" s="2184"/>
      <c r="I23" s="2184"/>
      <c r="J23" s="2184"/>
      <c r="K23" s="2184"/>
      <c r="L23" s="2184"/>
      <c r="M23" s="2184"/>
      <c r="N23" s="2184"/>
      <c r="O23" s="2184"/>
      <c r="P23" s="2184"/>
      <c r="Q23" s="2216"/>
    </row>
    <row r="24" spans="1:17" s="7" customFormat="1" ht="24" customHeight="1">
      <c r="A24" s="2215" t="s">
        <v>509</v>
      </c>
      <c r="B24" s="2184"/>
      <c r="C24" s="2184"/>
      <c r="D24" s="2184"/>
      <c r="E24" s="2184"/>
      <c r="F24" s="2184"/>
      <c r="G24" s="2184"/>
      <c r="H24" s="2184"/>
      <c r="I24" s="2184"/>
      <c r="J24" s="2184"/>
      <c r="K24" s="2184"/>
      <c r="L24" s="2184"/>
      <c r="M24" s="2184"/>
      <c r="N24" s="2184"/>
      <c r="O24" s="2184"/>
      <c r="P24" s="2184"/>
      <c r="Q24" s="2216"/>
    </row>
    <row r="25" spans="1:17" s="7" customFormat="1" ht="24" customHeight="1">
      <c r="A25" s="2215" t="s">
        <v>124</v>
      </c>
      <c r="B25" s="2184"/>
      <c r="C25" s="2184"/>
      <c r="D25" s="2184"/>
      <c r="E25" s="2184"/>
      <c r="F25" s="2184"/>
      <c r="G25" s="2184"/>
      <c r="H25" s="2184"/>
      <c r="I25" s="2184"/>
      <c r="J25" s="2184"/>
      <c r="K25" s="2184"/>
      <c r="L25" s="2184"/>
      <c r="M25" s="2184"/>
      <c r="N25" s="2184"/>
      <c r="O25" s="2184"/>
      <c r="P25" s="2184"/>
      <c r="Q25" s="2216"/>
    </row>
    <row r="26" spans="1:17" s="7" customFormat="1" ht="24" customHeight="1" thickBot="1">
      <c r="A26" s="2397" t="s">
        <v>125</v>
      </c>
      <c r="B26" s="2398"/>
      <c r="C26" s="2398"/>
      <c r="D26" s="2398"/>
      <c r="E26" s="2398"/>
      <c r="F26" s="2398"/>
      <c r="G26" s="194"/>
      <c r="H26" s="2399" t="s">
        <v>67</v>
      </c>
      <c r="I26" s="2399"/>
      <c r="J26" s="2399"/>
      <c r="K26" s="2399"/>
      <c r="L26" s="2399"/>
      <c r="M26" s="2399"/>
      <c r="N26" s="2399"/>
      <c r="O26" s="2399"/>
      <c r="P26" s="2399"/>
      <c r="Q26" s="2400"/>
    </row>
    <row r="27" spans="1:17" ht="15.75" thickTop="1"/>
    <row r="171" spans="7:7">
      <c r="G171" s="1" t="s">
        <v>532</v>
      </c>
    </row>
  </sheetData>
  <mergeCells count="8">
    <mergeCell ref="A25:Q25"/>
    <mergeCell ref="A26:F26"/>
    <mergeCell ref="H26:Q26"/>
    <mergeCell ref="A1:Q1"/>
    <mergeCell ref="A2:Q2"/>
    <mergeCell ref="A3:Q3"/>
    <mergeCell ref="A23:Q23"/>
    <mergeCell ref="A24:Q24"/>
  </mergeCells>
  <conditionalFormatting sqref="S5:XFD21">
    <cfRule type="expression" dxfId="23" priority="3">
      <formula>MOD(ROW(),3)=1</formula>
    </cfRule>
  </conditionalFormatting>
  <conditionalFormatting sqref="A5:Q21">
    <cfRule type="expression" dxfId="22" priority="1">
      <formula>MOD(ROW(),3)=1</formula>
    </cfRule>
  </conditionalFormatting>
  <printOptions horizontalCentered="1"/>
  <pageMargins left="0.70866141732283505" right="0.70866141732283505" top="0.32" bottom="0.02" header="0.31496062992126" footer="0"/>
  <pageSetup paperSize="9" scale="90" fitToWidth="0" fitToHeight="0" orientation="landscape" r:id="rId1"/>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U171"/>
  <sheetViews>
    <sheetView view="pageBreakPreview" topLeftCell="AE1" zoomScaleSheetLayoutView="100" workbookViewId="0">
      <selection activeCell="S17" sqref="S17"/>
    </sheetView>
  </sheetViews>
  <sheetFormatPr defaultColWidth="9.140625" defaultRowHeight="15"/>
  <cols>
    <col min="1" max="1" width="9.140625" hidden="1" customWidth="1"/>
    <col min="2" max="2" width="18" hidden="1" customWidth="1"/>
    <col min="3" max="7" width="8.85546875" hidden="1" customWidth="1"/>
    <col min="8" max="8" width="10.42578125" hidden="1" customWidth="1"/>
    <col min="9" max="13" width="8.85546875" hidden="1" customWidth="1"/>
    <col min="14" max="14" width="10" hidden="1" customWidth="1"/>
    <col min="15" max="15" width="23.7109375" hidden="1" customWidth="1"/>
    <col min="16" max="16" width="9.28515625" hidden="1" customWidth="1"/>
    <col min="17" max="17" width="18.7109375" hidden="1" customWidth="1"/>
    <col min="18" max="20" width="9.28515625" hidden="1" customWidth="1"/>
    <col min="21" max="21" width="9.5703125" hidden="1" customWidth="1"/>
    <col min="22" max="22" width="9.28515625" hidden="1" customWidth="1"/>
    <col min="23" max="23" width="10.85546875" hidden="1" customWidth="1"/>
    <col min="24" max="29" width="9.28515625" hidden="1" customWidth="1"/>
    <col min="30" max="30" width="21.5703125" hidden="1" customWidth="1"/>
    <col min="32" max="32" width="15.7109375" customWidth="1"/>
    <col min="33" max="44" width="10.7109375" customWidth="1"/>
    <col min="45" max="45" width="18.7109375" customWidth="1"/>
  </cols>
  <sheetData>
    <row r="1" spans="1:45" s="9" customFormat="1" ht="38.25" customHeight="1" thickTop="1">
      <c r="A1" s="2193" t="s">
        <v>499</v>
      </c>
      <c r="B1" s="2193"/>
      <c r="C1" s="2193"/>
      <c r="D1" s="2193"/>
      <c r="E1" s="2193"/>
      <c r="F1" s="2193"/>
      <c r="G1" s="2193"/>
      <c r="H1" s="2193"/>
      <c r="I1" s="2193"/>
      <c r="J1" s="2193"/>
      <c r="K1" s="2193"/>
      <c r="L1" s="2193"/>
      <c r="M1" s="2193"/>
      <c r="N1" s="2193"/>
      <c r="O1" s="2193"/>
      <c r="P1" s="2193" t="s">
        <v>499</v>
      </c>
      <c r="Q1" s="2193"/>
      <c r="R1" s="2193"/>
      <c r="S1" s="2193"/>
      <c r="T1" s="2193"/>
      <c r="U1" s="2193"/>
      <c r="V1" s="2193"/>
      <c r="W1" s="2193"/>
      <c r="X1" s="2193"/>
      <c r="Y1" s="2193"/>
      <c r="Z1" s="2193"/>
      <c r="AA1" s="2193"/>
      <c r="AB1" s="2193"/>
      <c r="AC1" s="2193"/>
      <c r="AD1" s="2193"/>
      <c r="AE1" s="1868" t="s">
        <v>2807</v>
      </c>
      <c r="AF1" s="1869"/>
      <c r="AG1" s="1869"/>
      <c r="AH1" s="1869"/>
      <c r="AI1" s="1869"/>
      <c r="AJ1" s="1869"/>
      <c r="AK1" s="1869"/>
      <c r="AL1" s="1869"/>
      <c r="AM1" s="1869"/>
      <c r="AN1" s="1869"/>
      <c r="AO1" s="1869"/>
      <c r="AP1" s="1869"/>
      <c r="AQ1" s="1869"/>
      <c r="AR1" s="1869"/>
      <c r="AS1" s="1870"/>
    </row>
    <row r="2" spans="1:45" s="9" customFormat="1" ht="27" customHeight="1">
      <c r="A2" s="2193" t="s">
        <v>500</v>
      </c>
      <c r="B2" s="2193"/>
      <c r="C2" s="2193"/>
      <c r="D2" s="2193"/>
      <c r="E2" s="2193"/>
      <c r="F2" s="2193"/>
      <c r="G2" s="2193"/>
      <c r="H2" s="2193"/>
      <c r="I2" s="2193"/>
      <c r="J2" s="2193"/>
      <c r="K2" s="2193"/>
      <c r="L2" s="2193"/>
      <c r="M2" s="2193"/>
      <c r="N2" s="2193"/>
      <c r="O2" s="2193"/>
      <c r="P2" s="2193" t="s">
        <v>500</v>
      </c>
      <c r="Q2" s="2193"/>
      <c r="R2" s="2193"/>
      <c r="S2" s="2193"/>
      <c r="T2" s="2193"/>
      <c r="U2" s="2193"/>
      <c r="V2" s="2193"/>
      <c r="W2" s="2193"/>
      <c r="X2" s="2193"/>
      <c r="Y2" s="2193"/>
      <c r="Z2" s="2193"/>
      <c r="AA2" s="2193"/>
      <c r="AB2" s="2193"/>
      <c r="AC2" s="2193"/>
      <c r="AD2" s="2193"/>
      <c r="AE2" s="2224" t="s">
        <v>2808</v>
      </c>
      <c r="AF2" s="2193"/>
      <c r="AG2" s="2193"/>
      <c r="AH2" s="2193"/>
      <c r="AI2" s="2193"/>
      <c r="AJ2" s="2193"/>
      <c r="AK2" s="2193"/>
      <c r="AL2" s="2193"/>
      <c r="AM2" s="2193"/>
      <c r="AN2" s="2193"/>
      <c r="AO2" s="2193"/>
      <c r="AP2" s="2193"/>
      <c r="AQ2" s="2193"/>
      <c r="AR2" s="2193"/>
      <c r="AS2" s="2225"/>
    </row>
    <row r="3" spans="1:45" s="9" customFormat="1" ht="27" customHeight="1">
      <c r="A3" s="49"/>
      <c r="B3" s="49"/>
      <c r="C3" s="49"/>
      <c r="D3" s="49"/>
      <c r="E3" s="49"/>
      <c r="F3" s="49"/>
      <c r="G3" s="49"/>
      <c r="H3" s="49"/>
      <c r="I3" s="49"/>
      <c r="J3" s="49"/>
      <c r="K3" s="49"/>
      <c r="L3" s="49"/>
      <c r="M3" s="2410" t="s">
        <v>469</v>
      </c>
      <c r="N3" s="2410"/>
      <c r="O3" s="2410"/>
      <c r="P3" s="49"/>
      <c r="Q3" s="49"/>
      <c r="R3" s="49"/>
      <c r="S3" s="379">
        <v>2.5</v>
      </c>
      <c r="T3" s="49"/>
      <c r="U3" s="49"/>
      <c r="V3" s="49"/>
      <c r="W3" s="49"/>
      <c r="X3" s="49"/>
      <c r="Y3" s="49"/>
      <c r="Z3" s="49"/>
      <c r="AA3" s="49"/>
      <c r="AB3" s="2410" t="s">
        <v>625</v>
      </c>
      <c r="AC3" s="2410"/>
      <c r="AD3" s="2410"/>
      <c r="AE3" s="1140"/>
      <c r="AF3" s="49"/>
      <c r="AG3" s="49"/>
      <c r="AH3" s="49"/>
      <c r="AI3" s="49"/>
      <c r="AJ3" s="49"/>
      <c r="AK3" s="49"/>
      <c r="AL3" s="49"/>
      <c r="AM3" s="49"/>
      <c r="AN3" s="49"/>
      <c r="AO3" s="49"/>
      <c r="AP3" s="49"/>
      <c r="AQ3" s="2410" t="s">
        <v>699</v>
      </c>
      <c r="AR3" s="2410"/>
      <c r="AS3" s="2411"/>
    </row>
    <row r="4" spans="1:45" s="93" customFormat="1" ht="49.5" customHeight="1">
      <c r="A4" s="1929" t="s">
        <v>520</v>
      </c>
      <c r="B4" s="1929" t="s">
        <v>43</v>
      </c>
      <c r="C4" s="1929" t="s">
        <v>508</v>
      </c>
      <c r="D4" s="1929"/>
      <c r="E4" s="1929"/>
      <c r="F4" s="1929"/>
      <c r="G4" s="1929"/>
      <c r="H4" s="1929"/>
      <c r="I4" s="1929" t="s">
        <v>507</v>
      </c>
      <c r="J4" s="1929"/>
      <c r="K4" s="1929"/>
      <c r="L4" s="1929"/>
      <c r="M4" s="1929"/>
      <c r="N4" s="1929"/>
      <c r="O4" s="1929" t="s">
        <v>196</v>
      </c>
      <c r="P4" s="1929" t="s">
        <v>520</v>
      </c>
      <c r="Q4" s="1929" t="s">
        <v>43</v>
      </c>
      <c r="R4" s="1929" t="s">
        <v>508</v>
      </c>
      <c r="S4" s="1929"/>
      <c r="T4" s="1929"/>
      <c r="U4" s="1929"/>
      <c r="V4" s="1929"/>
      <c r="W4" s="1929"/>
      <c r="X4" s="1929" t="s">
        <v>507</v>
      </c>
      <c r="Y4" s="1929"/>
      <c r="Z4" s="1929"/>
      <c r="AA4" s="1929"/>
      <c r="AB4" s="1929"/>
      <c r="AC4" s="1929"/>
      <c r="AD4" s="1907" t="s">
        <v>196</v>
      </c>
      <c r="AE4" s="1928" t="s">
        <v>688</v>
      </c>
      <c r="AF4" s="1929" t="s">
        <v>196</v>
      </c>
      <c r="AG4" s="1908" t="s">
        <v>690</v>
      </c>
      <c r="AH4" s="1929"/>
      <c r="AI4" s="1929"/>
      <c r="AJ4" s="1929"/>
      <c r="AK4" s="1929"/>
      <c r="AL4" s="1929"/>
      <c r="AM4" s="1929" t="s">
        <v>691</v>
      </c>
      <c r="AN4" s="1929"/>
      <c r="AO4" s="1929"/>
      <c r="AP4" s="1929"/>
      <c r="AQ4" s="1929"/>
      <c r="AR4" s="1929"/>
      <c r="AS4" s="1921" t="s">
        <v>43</v>
      </c>
    </row>
    <row r="5" spans="1:45" s="93" customFormat="1" ht="45" customHeight="1">
      <c r="A5" s="1929"/>
      <c r="B5" s="1929"/>
      <c r="C5" s="79" t="s">
        <v>501</v>
      </c>
      <c r="D5" s="79" t="s">
        <v>502</v>
      </c>
      <c r="E5" s="79" t="s">
        <v>503</v>
      </c>
      <c r="F5" s="79" t="s">
        <v>504</v>
      </c>
      <c r="G5" s="79" t="s">
        <v>505</v>
      </c>
      <c r="H5" s="79" t="s">
        <v>506</v>
      </c>
      <c r="I5" s="79" t="s">
        <v>501</v>
      </c>
      <c r="J5" s="79" t="s">
        <v>502</v>
      </c>
      <c r="K5" s="79" t="s">
        <v>503</v>
      </c>
      <c r="L5" s="79" t="s">
        <v>504</v>
      </c>
      <c r="M5" s="79" t="s">
        <v>505</v>
      </c>
      <c r="N5" s="79" t="s">
        <v>506</v>
      </c>
      <c r="O5" s="1929"/>
      <c r="P5" s="1905"/>
      <c r="Q5" s="1905"/>
      <c r="R5" s="108" t="s">
        <v>501</v>
      </c>
      <c r="S5" s="108" t="s">
        <v>502</v>
      </c>
      <c r="T5" s="108" t="s">
        <v>503</v>
      </c>
      <c r="U5" s="108" t="s">
        <v>504</v>
      </c>
      <c r="V5" s="108" t="s">
        <v>505</v>
      </c>
      <c r="W5" s="108" t="s">
        <v>506</v>
      </c>
      <c r="X5" s="108" t="s">
        <v>501</v>
      </c>
      <c r="Y5" s="108" t="s">
        <v>502</v>
      </c>
      <c r="Z5" s="108" t="s">
        <v>503</v>
      </c>
      <c r="AA5" s="108" t="s">
        <v>504</v>
      </c>
      <c r="AB5" s="108" t="s">
        <v>505</v>
      </c>
      <c r="AC5" s="108" t="s">
        <v>506</v>
      </c>
      <c r="AD5" s="2413"/>
      <c r="AE5" s="2412"/>
      <c r="AF5" s="1929"/>
      <c r="AG5" s="1728" t="s">
        <v>693</v>
      </c>
      <c r="AH5" s="108" t="s">
        <v>694</v>
      </c>
      <c r="AI5" s="108" t="s">
        <v>695</v>
      </c>
      <c r="AJ5" s="108" t="s">
        <v>696</v>
      </c>
      <c r="AK5" s="108" t="s">
        <v>697</v>
      </c>
      <c r="AL5" s="108" t="s">
        <v>698</v>
      </c>
      <c r="AM5" s="108" t="s">
        <v>693</v>
      </c>
      <c r="AN5" s="108" t="s">
        <v>694</v>
      </c>
      <c r="AO5" s="108" t="s">
        <v>695</v>
      </c>
      <c r="AP5" s="108" t="s">
        <v>696</v>
      </c>
      <c r="AQ5" s="108" t="s">
        <v>697</v>
      </c>
      <c r="AR5" s="108" t="s">
        <v>698</v>
      </c>
      <c r="AS5" s="2343"/>
    </row>
    <row r="6" spans="1:45" ht="24.95" customHeight="1">
      <c r="A6" s="91">
        <v>1</v>
      </c>
      <c r="B6" s="5" t="s">
        <v>14</v>
      </c>
      <c r="C6" s="34">
        <v>0</v>
      </c>
      <c r="D6" s="35">
        <v>1090.24</v>
      </c>
      <c r="E6" s="36">
        <v>11057.75</v>
      </c>
      <c r="F6" s="36">
        <v>3454.9</v>
      </c>
      <c r="G6" s="36">
        <v>72.03</v>
      </c>
      <c r="H6" s="36">
        <v>301207.93</v>
      </c>
      <c r="I6" s="34">
        <v>0</v>
      </c>
      <c r="J6" s="35">
        <v>126.82</v>
      </c>
      <c r="K6" s="36">
        <v>161.55000000000001</v>
      </c>
      <c r="L6" s="36">
        <v>46.2</v>
      </c>
      <c r="M6" s="36">
        <v>2.68</v>
      </c>
      <c r="N6" s="36">
        <v>443.35</v>
      </c>
      <c r="O6" s="105" t="s">
        <v>144</v>
      </c>
      <c r="P6" s="91">
        <v>1</v>
      </c>
      <c r="Q6" s="5" t="s">
        <v>14</v>
      </c>
      <c r="R6" s="34">
        <v>0</v>
      </c>
      <c r="S6" s="35">
        <v>1110.7085000000002</v>
      </c>
      <c r="T6" s="36">
        <v>13198.876999999999</v>
      </c>
      <c r="U6" s="36">
        <v>3835.134</v>
      </c>
      <c r="V6" s="36">
        <v>47.634</v>
      </c>
      <c r="W6" s="36">
        <v>320257.02490999998</v>
      </c>
      <c r="X6" s="34">
        <v>0</v>
      </c>
      <c r="Y6" s="35">
        <v>125.93307741850001</v>
      </c>
      <c r="Z6" s="36">
        <v>192.79133628508535</v>
      </c>
      <c r="AA6" s="36">
        <v>51.5002904153</v>
      </c>
      <c r="AB6" s="36">
        <v>1.7924844734527503</v>
      </c>
      <c r="AC6" s="36">
        <v>478.37541755317994</v>
      </c>
      <c r="AD6" s="105" t="s">
        <v>144</v>
      </c>
      <c r="AE6" s="1158">
        <v>1</v>
      </c>
      <c r="AF6" s="5" t="s">
        <v>144</v>
      </c>
      <c r="AG6" s="266">
        <v>0</v>
      </c>
      <c r="AH6" s="36">
        <v>1261.9079999999999</v>
      </c>
      <c r="AI6" s="36">
        <v>16538.4535</v>
      </c>
      <c r="AJ6" s="36">
        <v>4743.2249999999995</v>
      </c>
      <c r="AK6" s="36">
        <v>44.402000000000001</v>
      </c>
      <c r="AL6" s="36">
        <v>334362.39305499999</v>
      </c>
      <c r="AM6" s="36">
        <v>0</v>
      </c>
      <c r="AN6" s="36">
        <v>141.03968000399999</v>
      </c>
      <c r="AO6" s="36">
        <v>241.18641945649998</v>
      </c>
      <c r="AP6" s="36">
        <v>63.768724063500002</v>
      </c>
      <c r="AQ6" s="36">
        <v>1.6770690790000002</v>
      </c>
      <c r="AR6" s="36">
        <v>506.43553335153001</v>
      </c>
      <c r="AS6" s="630" t="s">
        <v>14</v>
      </c>
    </row>
    <row r="7" spans="1:45" ht="24.95" customHeight="1">
      <c r="A7" s="91">
        <v>2</v>
      </c>
      <c r="B7" s="5" t="s">
        <v>15</v>
      </c>
      <c r="C7" s="36">
        <v>100.72</v>
      </c>
      <c r="D7" s="35">
        <v>12.26</v>
      </c>
      <c r="E7" s="36">
        <v>16.850000000000001</v>
      </c>
      <c r="F7" s="36">
        <v>238.19</v>
      </c>
      <c r="G7" s="36">
        <v>96.46</v>
      </c>
      <c r="H7" s="36">
        <v>494.96</v>
      </c>
      <c r="I7" s="36">
        <v>11.23</v>
      </c>
      <c r="J7" s="35">
        <v>1.72</v>
      </c>
      <c r="K7" s="36">
        <v>0.19</v>
      </c>
      <c r="L7" s="36">
        <v>2.65</v>
      </c>
      <c r="M7" s="36">
        <v>5.48</v>
      </c>
      <c r="N7" s="36">
        <v>0.6</v>
      </c>
      <c r="O7" s="105" t="s">
        <v>145</v>
      </c>
      <c r="P7" s="91">
        <v>2</v>
      </c>
      <c r="Q7" s="5" t="s">
        <v>15</v>
      </c>
      <c r="R7" s="36">
        <v>109.42</v>
      </c>
      <c r="S7" s="35">
        <v>11.195</v>
      </c>
      <c r="T7" s="36">
        <v>15.560000000000002</v>
      </c>
      <c r="U7" s="36">
        <v>242.10499999999996</v>
      </c>
      <c r="V7" s="36">
        <v>99.570000000000007</v>
      </c>
      <c r="W7" s="36">
        <v>497.93</v>
      </c>
      <c r="X7" s="36">
        <v>12.044844749999999</v>
      </c>
      <c r="Y7" s="109">
        <v>1.5678000000000001</v>
      </c>
      <c r="Z7" s="36">
        <v>0.17988000000000001</v>
      </c>
      <c r="AA7" s="36">
        <v>2.6822400000000002</v>
      </c>
      <c r="AB7" s="36">
        <v>5.5996999999999995</v>
      </c>
      <c r="AC7" s="36">
        <v>0.59871599999999991</v>
      </c>
      <c r="AD7" s="105" t="s">
        <v>145</v>
      </c>
      <c r="AE7" s="1157">
        <v>2</v>
      </c>
      <c r="AF7" s="5" t="s">
        <v>145</v>
      </c>
      <c r="AG7" s="266">
        <v>100.65534133472244</v>
      </c>
      <c r="AH7" s="36">
        <v>16.114625</v>
      </c>
      <c r="AI7" s="36">
        <v>2.5199193548387098</v>
      </c>
      <c r="AJ7" s="36">
        <v>264.30489719726012</v>
      </c>
      <c r="AK7" s="36">
        <v>110.18659076166261</v>
      </c>
      <c r="AL7" s="36">
        <v>734.30078749595077</v>
      </c>
      <c r="AM7" s="36">
        <v>10.472138989464316</v>
      </c>
      <c r="AN7" s="36">
        <v>2.2668538750000002</v>
      </c>
      <c r="AO7" s="36">
        <v>2.973903225806452E-2</v>
      </c>
      <c r="AP7" s="36">
        <v>2.9043660264640145</v>
      </c>
      <c r="AQ7" s="36">
        <v>5.7820706635795602</v>
      </c>
      <c r="AR7" s="36">
        <v>0.88116094499514086</v>
      </c>
      <c r="AS7" s="630" t="s">
        <v>15</v>
      </c>
    </row>
    <row r="8" spans="1:45" ht="24.95" customHeight="1">
      <c r="A8" s="91">
        <v>3</v>
      </c>
      <c r="B8" s="5" t="s">
        <v>21</v>
      </c>
      <c r="C8" s="36">
        <v>53.76</v>
      </c>
      <c r="D8" s="35">
        <v>2.39</v>
      </c>
      <c r="E8" s="36">
        <v>250.95</v>
      </c>
      <c r="F8" s="36">
        <v>2138.87</v>
      </c>
      <c r="G8" s="36">
        <v>612.12</v>
      </c>
      <c r="H8" s="36">
        <v>8252.56</v>
      </c>
      <c r="I8" s="36">
        <v>3.26</v>
      </c>
      <c r="J8" s="35">
        <v>0.15</v>
      </c>
      <c r="K8" s="36">
        <v>1.68</v>
      </c>
      <c r="L8" s="36">
        <v>15.18</v>
      </c>
      <c r="M8" s="36">
        <v>19.399999999999999</v>
      </c>
      <c r="N8" s="36">
        <v>10.73</v>
      </c>
      <c r="O8" s="105" t="s">
        <v>146</v>
      </c>
      <c r="P8" s="91">
        <v>3</v>
      </c>
      <c r="Q8" s="5" t="s">
        <v>21</v>
      </c>
      <c r="R8" s="36">
        <v>55.833640000000003</v>
      </c>
      <c r="S8" s="35">
        <v>2.4530000000000003</v>
      </c>
      <c r="T8" s="36">
        <v>281.9828</v>
      </c>
      <c r="U8" s="36">
        <v>2242.3275599999997</v>
      </c>
      <c r="V8" s="36">
        <v>619.50813999999991</v>
      </c>
      <c r="W8" s="36">
        <v>8686.0207599999994</v>
      </c>
      <c r="X8" s="36">
        <v>3.3680213740000005</v>
      </c>
      <c r="Y8" s="35">
        <v>0.15931852299999999</v>
      </c>
      <c r="Z8" s="36">
        <v>1.8778060496799998</v>
      </c>
      <c r="AA8" s="36">
        <v>15.953865366800001</v>
      </c>
      <c r="AB8" s="36">
        <v>20.249966055000002</v>
      </c>
      <c r="AC8" s="36">
        <v>11.35212515668</v>
      </c>
      <c r="AD8" s="105" t="s">
        <v>146</v>
      </c>
      <c r="AE8" s="1157">
        <v>3</v>
      </c>
      <c r="AF8" s="5" t="s">
        <v>146</v>
      </c>
      <c r="AG8" s="266">
        <v>57.152699999999996</v>
      </c>
      <c r="AH8" s="36">
        <v>2.46956</v>
      </c>
      <c r="AI8" s="36">
        <v>290.76769999999999</v>
      </c>
      <c r="AJ8" s="36">
        <v>2320.8392199999998</v>
      </c>
      <c r="AK8" s="36">
        <v>642.21821999999997</v>
      </c>
      <c r="AL8" s="36">
        <v>8892.7789799999991</v>
      </c>
      <c r="AM8" s="36">
        <v>3.4761519120000002</v>
      </c>
      <c r="AN8" s="36">
        <v>0.18173334800000002</v>
      </c>
      <c r="AO8" s="36">
        <v>1.9486703869999999</v>
      </c>
      <c r="AP8" s="36">
        <v>16.444873479000002</v>
      </c>
      <c r="AQ8" s="36">
        <v>20.844402383000002</v>
      </c>
      <c r="AR8" s="36">
        <v>11.526887520999999</v>
      </c>
      <c r="AS8" s="630" t="s">
        <v>21</v>
      </c>
    </row>
    <row r="9" spans="1:45" ht="24.95" customHeight="1">
      <c r="A9" s="91">
        <v>4</v>
      </c>
      <c r="B9" s="5" t="s">
        <v>22</v>
      </c>
      <c r="C9" s="36">
        <v>460.44</v>
      </c>
      <c r="D9" s="35">
        <v>1110.31</v>
      </c>
      <c r="E9" s="36">
        <v>213.22</v>
      </c>
      <c r="F9" s="36">
        <v>9440.52</v>
      </c>
      <c r="G9" s="36">
        <v>3128.67</v>
      </c>
      <c r="H9" s="36">
        <v>82187.62</v>
      </c>
      <c r="I9" s="36">
        <v>27.42</v>
      </c>
      <c r="J9" s="35">
        <v>101.05</v>
      </c>
      <c r="K9" s="36">
        <v>1.72</v>
      </c>
      <c r="L9" s="36">
        <v>94.48</v>
      </c>
      <c r="M9" s="36">
        <v>75.739999999999995</v>
      </c>
      <c r="N9" s="36">
        <v>64.430000000000007</v>
      </c>
      <c r="O9" s="105" t="s">
        <v>147</v>
      </c>
      <c r="P9" s="91">
        <v>4</v>
      </c>
      <c r="Q9" s="5" t="s">
        <v>22</v>
      </c>
      <c r="R9" s="36">
        <v>0</v>
      </c>
      <c r="S9" s="35">
        <v>1282.1289999999999</v>
      </c>
      <c r="T9" s="36">
        <v>225.81799999999998</v>
      </c>
      <c r="U9" s="36">
        <v>9950.8550000000014</v>
      </c>
      <c r="V9" s="36">
        <v>3302.4959999999996</v>
      </c>
      <c r="W9" s="36">
        <v>87769.947999999989</v>
      </c>
      <c r="X9" s="36">
        <v>0</v>
      </c>
      <c r="Y9" s="35">
        <v>128.40050000000002</v>
      </c>
      <c r="Z9" s="36">
        <v>1.9097500220000003</v>
      </c>
      <c r="AA9" s="36">
        <v>101.04332954749999</v>
      </c>
      <c r="AB9" s="36">
        <v>81.225374116999987</v>
      </c>
      <c r="AC9" s="36">
        <v>70.928000000000011</v>
      </c>
      <c r="AD9" s="105" t="s">
        <v>147</v>
      </c>
      <c r="AE9" s="1157">
        <v>4</v>
      </c>
      <c r="AF9" s="5" t="s">
        <v>147</v>
      </c>
      <c r="AG9" s="266">
        <v>0</v>
      </c>
      <c r="AH9" s="36">
        <v>1459.5059999999999</v>
      </c>
      <c r="AI9" s="36">
        <v>157.45699999999999</v>
      </c>
      <c r="AJ9" s="36">
        <v>10938.066999999999</v>
      </c>
      <c r="AK9" s="36">
        <v>1859.2460000000001</v>
      </c>
      <c r="AL9" s="36">
        <v>96849.398000000016</v>
      </c>
      <c r="AM9" s="36">
        <v>0</v>
      </c>
      <c r="AN9" s="36">
        <v>147.48750000000004</v>
      </c>
      <c r="AO9" s="36">
        <v>1.3335000000000004</v>
      </c>
      <c r="AP9" s="36">
        <v>113.2765</v>
      </c>
      <c r="AQ9" s="36">
        <v>48.688000000000002</v>
      </c>
      <c r="AR9" s="36">
        <v>86.248000000000019</v>
      </c>
      <c r="AS9" s="630" t="s">
        <v>22</v>
      </c>
    </row>
    <row r="10" spans="1:45" ht="24.95" customHeight="1">
      <c r="A10" s="91">
        <v>5</v>
      </c>
      <c r="B10" s="5" t="s">
        <v>23</v>
      </c>
      <c r="C10" s="34">
        <v>0</v>
      </c>
      <c r="D10" s="34">
        <v>0</v>
      </c>
      <c r="E10" s="36">
        <v>137.84</v>
      </c>
      <c r="F10" s="36">
        <v>1207.98</v>
      </c>
      <c r="G10" s="36">
        <v>100.95</v>
      </c>
      <c r="H10" s="36">
        <v>32143.77</v>
      </c>
      <c r="I10" s="34">
        <v>0</v>
      </c>
      <c r="J10" s="34">
        <v>0</v>
      </c>
      <c r="K10" s="36">
        <v>2.19</v>
      </c>
      <c r="L10" s="36">
        <v>15.52</v>
      </c>
      <c r="M10" s="36">
        <v>2.88</v>
      </c>
      <c r="N10" s="36">
        <v>40.29</v>
      </c>
      <c r="O10" s="105" t="s">
        <v>148</v>
      </c>
      <c r="P10" s="91">
        <v>5</v>
      </c>
      <c r="Q10" s="5" t="s">
        <v>23</v>
      </c>
      <c r="R10" s="34">
        <v>0</v>
      </c>
      <c r="S10" s="34">
        <v>0</v>
      </c>
      <c r="T10" s="36">
        <v>182.173</v>
      </c>
      <c r="U10" s="36">
        <v>1305.2260000000001</v>
      </c>
      <c r="V10" s="36">
        <v>138.09999999999997</v>
      </c>
      <c r="W10" s="36">
        <v>35021.894</v>
      </c>
      <c r="X10" s="34">
        <v>0</v>
      </c>
      <c r="Y10" s="34">
        <v>0</v>
      </c>
      <c r="Z10" s="36">
        <v>2.3639999999999999</v>
      </c>
      <c r="AA10" s="36">
        <v>16.850000000000001</v>
      </c>
      <c r="AB10" s="36">
        <v>3.1539999999999995</v>
      </c>
      <c r="AC10" s="36">
        <v>43.667000000000002</v>
      </c>
      <c r="AD10" s="105" t="s">
        <v>148</v>
      </c>
      <c r="AE10" s="1157">
        <v>5</v>
      </c>
      <c r="AF10" s="5" t="s">
        <v>148</v>
      </c>
      <c r="AG10" s="266">
        <v>0</v>
      </c>
      <c r="AH10" s="36">
        <v>0</v>
      </c>
      <c r="AI10" s="36">
        <v>121.348</v>
      </c>
      <c r="AJ10" s="36">
        <v>953.43999999999994</v>
      </c>
      <c r="AK10" s="36">
        <v>84.594999999999999</v>
      </c>
      <c r="AL10" s="36">
        <v>24907.024999999998</v>
      </c>
      <c r="AM10" s="36">
        <v>0</v>
      </c>
      <c r="AN10" s="36">
        <v>0</v>
      </c>
      <c r="AO10" s="36">
        <v>1.7490000000000003</v>
      </c>
      <c r="AP10" s="36">
        <v>12.312000000000001</v>
      </c>
      <c r="AQ10" s="36">
        <v>2.4480000000000004</v>
      </c>
      <c r="AR10" s="36">
        <v>30.251000000000001</v>
      </c>
      <c r="AS10" s="630" t="s">
        <v>23</v>
      </c>
    </row>
    <row r="11" spans="1:45" ht="24.95" customHeight="1">
      <c r="A11" s="91">
        <v>6</v>
      </c>
      <c r="B11" s="5" t="s">
        <v>24</v>
      </c>
      <c r="C11" s="36">
        <v>0</v>
      </c>
      <c r="D11" s="35">
        <v>0</v>
      </c>
      <c r="E11" s="36">
        <v>0</v>
      </c>
      <c r="F11" s="36">
        <v>0</v>
      </c>
      <c r="G11" s="36">
        <v>0</v>
      </c>
      <c r="H11" s="36">
        <v>0</v>
      </c>
      <c r="I11" s="36">
        <v>0</v>
      </c>
      <c r="J11" s="35">
        <v>0</v>
      </c>
      <c r="K11" s="36">
        <v>0</v>
      </c>
      <c r="L11" s="36">
        <v>0</v>
      </c>
      <c r="M11" s="36">
        <v>0</v>
      </c>
      <c r="N11" s="36">
        <v>0</v>
      </c>
      <c r="O11" s="105" t="s">
        <v>149</v>
      </c>
      <c r="P11" s="91">
        <v>6</v>
      </c>
      <c r="Q11" s="5" t="s">
        <v>16</v>
      </c>
      <c r="R11" s="36">
        <v>0.12</v>
      </c>
      <c r="S11" s="35">
        <v>0</v>
      </c>
      <c r="T11" s="36">
        <v>0</v>
      </c>
      <c r="U11" s="36">
        <v>241.31258333333335</v>
      </c>
      <c r="V11" s="36">
        <v>46.495666666666665</v>
      </c>
      <c r="W11" s="36">
        <v>2515.2527500000001</v>
      </c>
      <c r="X11" s="36">
        <v>1.4399999999999998E-2</v>
      </c>
      <c r="Y11" s="35">
        <v>0</v>
      </c>
      <c r="Z11" s="36">
        <v>0</v>
      </c>
      <c r="AA11" s="36">
        <v>3.1370635833333331</v>
      </c>
      <c r="AB11" s="36">
        <v>0.79042633333333334</v>
      </c>
      <c r="AC11" s="36">
        <v>3.2698285750000005</v>
      </c>
      <c r="AD11" s="105" t="s">
        <v>150</v>
      </c>
      <c r="AE11" s="1157">
        <v>6</v>
      </c>
      <c r="AF11" s="5" t="s">
        <v>150</v>
      </c>
      <c r="AG11" s="266">
        <v>0</v>
      </c>
      <c r="AH11" s="36">
        <v>0</v>
      </c>
      <c r="AI11" s="36">
        <v>0</v>
      </c>
      <c r="AJ11" s="36">
        <v>198.95675714285716</v>
      </c>
      <c r="AK11" s="36">
        <v>36.321573809523805</v>
      </c>
      <c r="AL11" s="36">
        <v>2190.6061476190475</v>
      </c>
      <c r="AM11" s="36">
        <v>0</v>
      </c>
      <c r="AN11" s="36">
        <v>0</v>
      </c>
      <c r="AO11" s="36">
        <v>0</v>
      </c>
      <c r="AP11" s="36">
        <v>2.5864378428571433</v>
      </c>
      <c r="AQ11" s="36">
        <v>0.61746675476190482</v>
      </c>
      <c r="AR11" s="36">
        <v>2.8477879919047622</v>
      </c>
      <c r="AS11" s="630" t="s">
        <v>16</v>
      </c>
    </row>
    <row r="12" spans="1:45" ht="24.95" customHeight="1">
      <c r="A12" s="91">
        <v>7</v>
      </c>
      <c r="B12" s="5" t="s">
        <v>16</v>
      </c>
      <c r="C12" s="36">
        <v>2.7</v>
      </c>
      <c r="D12" s="34">
        <v>0</v>
      </c>
      <c r="E12" s="34">
        <v>0</v>
      </c>
      <c r="F12" s="36">
        <v>245.59</v>
      </c>
      <c r="G12" s="36">
        <v>47.47</v>
      </c>
      <c r="H12" s="36">
        <v>2836.6</v>
      </c>
      <c r="I12" s="36">
        <v>0.24</v>
      </c>
      <c r="J12" s="34">
        <v>0</v>
      </c>
      <c r="K12" s="36">
        <v>0</v>
      </c>
      <c r="L12" s="36">
        <v>3.19</v>
      </c>
      <c r="M12" s="36">
        <v>0.8</v>
      </c>
      <c r="N12" s="36">
        <v>3.69</v>
      </c>
      <c r="O12" s="105" t="s">
        <v>150</v>
      </c>
      <c r="P12" s="91">
        <v>7</v>
      </c>
      <c r="Q12" s="5" t="s">
        <v>17</v>
      </c>
      <c r="R12" s="36">
        <v>0</v>
      </c>
      <c r="S12" s="34">
        <v>11.734999999999999</v>
      </c>
      <c r="T12" s="34">
        <v>30.123000000000001</v>
      </c>
      <c r="U12" s="36">
        <v>56.981000000000002</v>
      </c>
      <c r="V12" s="36">
        <v>5.59</v>
      </c>
      <c r="W12" s="36">
        <v>30048.8295</v>
      </c>
      <c r="X12" s="36">
        <v>0</v>
      </c>
      <c r="Y12" s="34">
        <v>1.079245112</v>
      </c>
      <c r="Z12" s="36">
        <v>0.32457460000000005</v>
      </c>
      <c r="AA12" s="36">
        <v>0.63624951200000002</v>
      </c>
      <c r="AB12" s="36">
        <v>0.12577500000000003</v>
      </c>
      <c r="AC12" s="36">
        <v>31.302796215493341</v>
      </c>
      <c r="AD12" s="105" t="s">
        <v>151</v>
      </c>
      <c r="AE12" s="1157">
        <v>7</v>
      </c>
      <c r="AF12" s="5" t="s">
        <v>151</v>
      </c>
      <c r="AG12" s="266">
        <v>0</v>
      </c>
      <c r="AH12" s="36">
        <v>9.5909999999999993</v>
      </c>
      <c r="AI12" s="36">
        <v>13.803000000000001</v>
      </c>
      <c r="AJ12" s="36">
        <v>25.687000000000001</v>
      </c>
      <c r="AK12" s="36">
        <v>4.7409999999999997</v>
      </c>
      <c r="AL12" s="36">
        <v>30123.569253333328</v>
      </c>
      <c r="AM12" s="36">
        <v>0</v>
      </c>
      <c r="AN12" s="36">
        <v>0.88206508800000005</v>
      </c>
      <c r="AO12" s="36">
        <v>0.14872732500000005</v>
      </c>
      <c r="AP12" s="36">
        <v>0.28682104200000003</v>
      </c>
      <c r="AQ12" s="36">
        <v>0.10667250000000002</v>
      </c>
      <c r="AR12" s="36">
        <v>31.457426278122945</v>
      </c>
      <c r="AS12" s="630" t="s">
        <v>17</v>
      </c>
    </row>
    <row r="13" spans="1:45" ht="24.95" customHeight="1">
      <c r="A13" s="91">
        <v>8</v>
      </c>
      <c r="B13" s="5" t="s">
        <v>17</v>
      </c>
      <c r="C13" s="34">
        <v>0</v>
      </c>
      <c r="D13" s="35">
        <v>9.43</v>
      </c>
      <c r="E13" s="36">
        <v>39.729999999999997</v>
      </c>
      <c r="F13" s="36">
        <v>70.05</v>
      </c>
      <c r="G13" s="36">
        <v>5.35</v>
      </c>
      <c r="H13" s="36">
        <v>29863.02</v>
      </c>
      <c r="I13" s="34">
        <v>0</v>
      </c>
      <c r="J13" s="35">
        <v>0.87</v>
      </c>
      <c r="K13" s="36">
        <v>0.43</v>
      </c>
      <c r="L13" s="36">
        <v>0.78</v>
      </c>
      <c r="M13" s="36">
        <v>0.12</v>
      </c>
      <c r="N13" s="36">
        <v>31.13</v>
      </c>
      <c r="O13" s="105" t="s">
        <v>151</v>
      </c>
      <c r="P13" s="91">
        <v>8</v>
      </c>
      <c r="Q13" s="5" t="s">
        <v>25</v>
      </c>
      <c r="R13" s="34">
        <v>0</v>
      </c>
      <c r="S13" s="35">
        <v>30.440999999999999</v>
      </c>
      <c r="T13" s="36">
        <v>1000.8151489862901</v>
      </c>
      <c r="U13" s="36">
        <v>438.44981340819601</v>
      </c>
      <c r="V13" s="36">
        <v>162.66200000000001</v>
      </c>
      <c r="W13" s="36">
        <v>394162.09716361837</v>
      </c>
      <c r="X13" s="34">
        <v>0</v>
      </c>
      <c r="Y13" s="35">
        <v>4.0625482999999996</v>
      </c>
      <c r="Z13" s="36">
        <v>11.842970102001555</v>
      </c>
      <c r="AA13" s="36">
        <v>7.1795037283773446</v>
      </c>
      <c r="AB13" s="36">
        <v>7.4367221376699995</v>
      </c>
      <c r="AC13" s="36">
        <v>523.34852613146609</v>
      </c>
      <c r="AD13" s="105" t="s">
        <v>152</v>
      </c>
      <c r="AE13" s="1157">
        <v>8</v>
      </c>
      <c r="AF13" s="5" t="s">
        <v>152</v>
      </c>
      <c r="AG13" s="266">
        <v>0</v>
      </c>
      <c r="AH13" s="36">
        <v>57.248999999999995</v>
      </c>
      <c r="AI13" s="36">
        <v>749.12381338363616</v>
      </c>
      <c r="AJ13" s="36">
        <v>465.9808690795162</v>
      </c>
      <c r="AK13" s="36">
        <v>181.06889999999999</v>
      </c>
      <c r="AL13" s="36">
        <v>413616.83285537717</v>
      </c>
      <c r="AM13" s="36">
        <v>0</v>
      </c>
      <c r="AN13" s="36">
        <v>7.5963639999999986</v>
      </c>
      <c r="AO13" s="36">
        <v>10.222784298536778</v>
      </c>
      <c r="AP13" s="36">
        <v>7.3271923610822576</v>
      </c>
      <c r="AQ13" s="36">
        <v>8.2412794506620006</v>
      </c>
      <c r="AR13" s="36">
        <v>563.21151621319621</v>
      </c>
      <c r="AS13" s="630" t="s">
        <v>25</v>
      </c>
    </row>
    <row r="14" spans="1:45" ht="24.95" customHeight="1">
      <c r="A14" s="91">
        <v>9</v>
      </c>
      <c r="B14" s="5" t="s">
        <v>25</v>
      </c>
      <c r="C14" s="34">
        <v>0</v>
      </c>
      <c r="D14" s="34">
        <v>51.91</v>
      </c>
      <c r="E14" s="36">
        <v>1074.6300000000001</v>
      </c>
      <c r="F14" s="36">
        <v>375.37</v>
      </c>
      <c r="G14" s="36">
        <v>153.77000000000001</v>
      </c>
      <c r="H14" s="36">
        <v>365498.91</v>
      </c>
      <c r="I14" s="34">
        <v>0</v>
      </c>
      <c r="J14" s="34">
        <v>7.32</v>
      </c>
      <c r="K14" s="36">
        <v>12.52</v>
      </c>
      <c r="L14" s="36">
        <v>6.5</v>
      </c>
      <c r="M14" s="36">
        <v>7.02</v>
      </c>
      <c r="N14" s="36">
        <v>478.63</v>
      </c>
      <c r="O14" s="105" t="s">
        <v>152</v>
      </c>
      <c r="P14" s="91">
        <v>9</v>
      </c>
      <c r="Q14" s="5" t="s">
        <v>5</v>
      </c>
      <c r="R14" s="34">
        <v>0</v>
      </c>
      <c r="S14" s="34">
        <v>0</v>
      </c>
      <c r="T14" s="36">
        <v>51.690659348959713</v>
      </c>
      <c r="U14" s="36">
        <v>122.39516668374358</v>
      </c>
      <c r="V14" s="36">
        <v>2.9359999999999999</v>
      </c>
      <c r="W14" s="36">
        <v>853.86799999999994</v>
      </c>
      <c r="X14" s="34">
        <v>0</v>
      </c>
      <c r="Y14" s="34">
        <v>0</v>
      </c>
      <c r="Z14" s="36">
        <v>0.98589502045054966</v>
      </c>
      <c r="AA14" s="36">
        <v>2.3350810145549454</v>
      </c>
      <c r="AB14" s="36">
        <v>9.1116259000000005E-2</v>
      </c>
      <c r="AC14" s="36">
        <v>1.3511888890000001</v>
      </c>
      <c r="AD14" s="105" t="s">
        <v>153</v>
      </c>
      <c r="AE14" s="1157">
        <v>9</v>
      </c>
      <c r="AF14" s="5" t="s">
        <v>153</v>
      </c>
      <c r="AG14" s="266">
        <v>0</v>
      </c>
      <c r="AH14" s="36">
        <v>0</v>
      </c>
      <c r="AI14" s="36">
        <v>51.659173958974357</v>
      </c>
      <c r="AJ14" s="36">
        <v>114.07030926007326</v>
      </c>
      <c r="AK14" s="36">
        <v>2.222</v>
      </c>
      <c r="AL14" s="36">
        <v>749.34899999999993</v>
      </c>
      <c r="AM14" s="36">
        <v>0</v>
      </c>
      <c r="AN14" s="36">
        <v>0</v>
      </c>
      <c r="AO14" s="36">
        <v>0.98582860915567772</v>
      </c>
      <c r="AP14" s="36">
        <v>2.1595802769047618</v>
      </c>
      <c r="AQ14" s="36">
        <v>7.0592745000000012E-2</v>
      </c>
      <c r="AR14" s="36">
        <v>1.0900583500000001</v>
      </c>
      <c r="AS14" s="630" t="s">
        <v>5</v>
      </c>
    </row>
    <row r="15" spans="1:45" ht="24.95" customHeight="1">
      <c r="A15" s="91">
        <v>10</v>
      </c>
      <c r="B15" s="5" t="s">
        <v>5</v>
      </c>
      <c r="C15" s="34">
        <v>0</v>
      </c>
      <c r="D15" s="34">
        <v>0</v>
      </c>
      <c r="E15" s="36">
        <v>49.32</v>
      </c>
      <c r="F15" s="36">
        <v>123.74</v>
      </c>
      <c r="G15" s="36">
        <v>3.2</v>
      </c>
      <c r="H15" s="36">
        <v>876.43</v>
      </c>
      <c r="I15" s="34">
        <v>0</v>
      </c>
      <c r="J15" s="34">
        <v>0</v>
      </c>
      <c r="K15" s="36">
        <v>0.92</v>
      </c>
      <c r="L15" s="36">
        <v>2.3199999999999998</v>
      </c>
      <c r="M15" s="36">
        <v>0.11</v>
      </c>
      <c r="N15" s="36">
        <v>1.25</v>
      </c>
      <c r="O15" s="105" t="s">
        <v>153</v>
      </c>
      <c r="P15" s="91">
        <v>10</v>
      </c>
      <c r="Q15" s="5" t="s">
        <v>632</v>
      </c>
      <c r="R15" s="34">
        <v>0</v>
      </c>
      <c r="S15" s="34">
        <v>34.489794444444442</v>
      </c>
      <c r="T15" s="36">
        <v>1370.2415998501499</v>
      </c>
      <c r="U15" s="36">
        <v>816.06317115384604</v>
      </c>
      <c r="V15" s="36">
        <v>0</v>
      </c>
      <c r="W15" s="36">
        <v>51191.74962664835</v>
      </c>
      <c r="X15" s="34">
        <v>0</v>
      </c>
      <c r="Y15" s="34">
        <v>4.8093741444444449</v>
      </c>
      <c r="Z15" s="36">
        <v>20.651557544837747</v>
      </c>
      <c r="AA15" s="36">
        <v>13.06358006706477</v>
      </c>
      <c r="AB15" s="36">
        <v>0</v>
      </c>
      <c r="AC15" s="36">
        <v>56.918267266623936</v>
      </c>
      <c r="AD15" s="105" t="s">
        <v>154</v>
      </c>
      <c r="AE15" s="1157">
        <v>10</v>
      </c>
      <c r="AF15" s="5" t="s">
        <v>154</v>
      </c>
      <c r="AG15" s="266">
        <v>0</v>
      </c>
      <c r="AH15" s="36">
        <v>44.823949206349212</v>
      </c>
      <c r="AI15" s="36">
        <v>1185.8363532661783</v>
      </c>
      <c r="AJ15" s="36">
        <v>609.01340164835176</v>
      </c>
      <c r="AK15" s="36">
        <v>0</v>
      </c>
      <c r="AL15" s="36">
        <v>47285.944461981067</v>
      </c>
      <c r="AM15" s="36">
        <v>0</v>
      </c>
      <c r="AN15" s="36">
        <v>5.0567670190476193</v>
      </c>
      <c r="AO15" s="36">
        <v>17.923696539832115</v>
      </c>
      <c r="AP15" s="36">
        <v>9.7593074378861431</v>
      </c>
      <c r="AQ15" s="36">
        <v>0</v>
      </c>
      <c r="AR15" s="36">
        <v>55.458211207541353</v>
      </c>
      <c r="AS15" s="630" t="s">
        <v>26</v>
      </c>
    </row>
    <row r="16" spans="1:45" ht="24.95" customHeight="1">
      <c r="A16" s="91">
        <v>11</v>
      </c>
      <c r="B16" s="5" t="s">
        <v>26</v>
      </c>
      <c r="C16" s="34">
        <v>0</v>
      </c>
      <c r="D16" s="35">
        <v>30.55</v>
      </c>
      <c r="E16" s="36">
        <v>1432.45</v>
      </c>
      <c r="F16" s="36">
        <v>777.93</v>
      </c>
      <c r="G16" s="34">
        <v>0</v>
      </c>
      <c r="H16" s="36">
        <v>45116.13</v>
      </c>
      <c r="I16" s="34">
        <v>0</v>
      </c>
      <c r="J16" s="35">
        <v>5.4</v>
      </c>
      <c r="K16" s="36">
        <v>21.37</v>
      </c>
      <c r="L16" s="36">
        <v>12.33</v>
      </c>
      <c r="M16" s="34">
        <v>0</v>
      </c>
      <c r="N16" s="36">
        <v>52.5</v>
      </c>
      <c r="O16" s="105" t="s">
        <v>154</v>
      </c>
      <c r="P16" s="91">
        <v>11</v>
      </c>
      <c r="Q16" s="5" t="s">
        <v>27</v>
      </c>
      <c r="R16" s="34">
        <v>0</v>
      </c>
      <c r="S16" s="35">
        <v>2.242</v>
      </c>
      <c r="T16" s="36">
        <v>146.31181310422122</v>
      </c>
      <c r="U16" s="36">
        <v>2528.6744414710488</v>
      </c>
      <c r="V16" s="34">
        <v>608.37283699556383</v>
      </c>
      <c r="W16" s="36">
        <v>18611.35738922422</v>
      </c>
      <c r="X16" s="34">
        <v>0</v>
      </c>
      <c r="Y16" s="35">
        <v>0.23959560999999999</v>
      </c>
      <c r="Z16" s="36">
        <v>1.0489921665908579</v>
      </c>
      <c r="AA16" s="36">
        <v>23.166062041971344</v>
      </c>
      <c r="AB16" s="34">
        <v>24.847461928388832</v>
      </c>
      <c r="AC16" s="36">
        <v>17.869319547650981</v>
      </c>
      <c r="AD16" s="105" t="s">
        <v>155</v>
      </c>
      <c r="AE16" s="1157">
        <v>11</v>
      </c>
      <c r="AF16" s="5" t="s">
        <v>155</v>
      </c>
      <c r="AG16" s="266">
        <v>0</v>
      </c>
      <c r="AH16" s="36">
        <v>1.633</v>
      </c>
      <c r="AI16" s="36">
        <v>113.45009679487181</v>
      </c>
      <c r="AJ16" s="36">
        <v>2747.4621654304028</v>
      </c>
      <c r="AK16" s="36">
        <v>640.78397568681316</v>
      </c>
      <c r="AL16" s="36">
        <v>19047.311336034796</v>
      </c>
      <c r="AM16" s="36">
        <v>0</v>
      </c>
      <c r="AN16" s="36">
        <v>0.17549307000000003</v>
      </c>
      <c r="AO16" s="36">
        <v>0.85295874417582429</v>
      </c>
      <c r="AP16" s="36">
        <v>24.909966022435899</v>
      </c>
      <c r="AQ16" s="36">
        <v>26.029992151799451</v>
      </c>
      <c r="AR16" s="36">
        <v>18.274410738804853</v>
      </c>
      <c r="AS16" s="630" t="s">
        <v>27</v>
      </c>
    </row>
    <row r="17" spans="1:45" ht="24.95" customHeight="1">
      <c r="A17" s="91">
        <v>12</v>
      </c>
      <c r="B17" s="5" t="s">
        <v>27</v>
      </c>
      <c r="C17" s="34">
        <v>0</v>
      </c>
      <c r="D17" s="35">
        <v>2.08</v>
      </c>
      <c r="E17" s="36">
        <v>142.11000000000001</v>
      </c>
      <c r="F17" s="36">
        <v>2362.5100000000002</v>
      </c>
      <c r="G17" s="36">
        <v>570.64</v>
      </c>
      <c r="H17" s="36">
        <v>17096.14</v>
      </c>
      <c r="I17" s="34">
        <v>0</v>
      </c>
      <c r="J17" s="35">
        <v>0.22</v>
      </c>
      <c r="K17" s="36">
        <v>1.03</v>
      </c>
      <c r="L17" s="36">
        <v>21.68</v>
      </c>
      <c r="M17" s="36">
        <v>23.05</v>
      </c>
      <c r="N17" s="36">
        <v>16.41</v>
      </c>
      <c r="O17" s="105" t="s">
        <v>155</v>
      </c>
      <c r="P17" s="91">
        <v>12</v>
      </c>
      <c r="Q17" s="5" t="s">
        <v>28</v>
      </c>
      <c r="R17" s="34">
        <v>181.67273833111335</v>
      </c>
      <c r="S17" s="35">
        <v>56.33190592185592</v>
      </c>
      <c r="T17" s="36">
        <v>4817.0268923759568</v>
      </c>
      <c r="U17" s="36">
        <v>3639.0880315954469</v>
      </c>
      <c r="V17" s="36">
        <v>126.81432681547247</v>
      </c>
      <c r="W17" s="36">
        <v>99305.461498982651</v>
      </c>
      <c r="X17" s="34">
        <v>20.831944010473137</v>
      </c>
      <c r="Y17" s="35">
        <v>6.1311295459548232</v>
      </c>
      <c r="Z17" s="36">
        <v>71.598324504794604</v>
      </c>
      <c r="AA17" s="36">
        <v>53.569191340972203</v>
      </c>
      <c r="AB17" s="36">
        <v>7.4081843685085742</v>
      </c>
      <c r="AC17" s="36">
        <v>145.30741198645765</v>
      </c>
      <c r="AD17" s="105" t="s">
        <v>156</v>
      </c>
      <c r="AE17" s="1157">
        <v>12</v>
      </c>
      <c r="AF17" s="5" t="s">
        <v>156</v>
      </c>
      <c r="AG17" s="266">
        <v>106.93090399812606</v>
      </c>
      <c r="AH17" s="36">
        <v>60.258429050851106</v>
      </c>
      <c r="AI17" s="36">
        <v>7739.1113054360958</v>
      </c>
      <c r="AJ17" s="36">
        <v>5040.2087780727206</v>
      </c>
      <c r="AK17" s="36">
        <v>117.81932767047766</v>
      </c>
      <c r="AL17" s="36">
        <v>99355.120923002338</v>
      </c>
      <c r="AM17" s="36">
        <v>12.149500999676373</v>
      </c>
      <c r="AN17" s="36">
        <v>6.9229592512236939</v>
      </c>
      <c r="AO17" s="36">
        <v>116.70754280415547</v>
      </c>
      <c r="AP17" s="36">
        <v>76.349784452191699</v>
      </c>
      <c r="AQ17" s="36">
        <v>6.886322847881563</v>
      </c>
      <c r="AR17" s="36">
        <v>145.26292591343588</v>
      </c>
      <c r="AS17" s="630" t="s">
        <v>28</v>
      </c>
    </row>
    <row r="18" spans="1:45" ht="24.95" customHeight="1">
      <c r="A18" s="91">
        <v>13</v>
      </c>
      <c r="B18" s="5" t="s">
        <v>28</v>
      </c>
      <c r="C18" s="36">
        <v>150.47999999999999</v>
      </c>
      <c r="D18" s="35">
        <v>88.08</v>
      </c>
      <c r="E18" s="36">
        <v>3163.64</v>
      </c>
      <c r="F18" s="36">
        <v>2270.7800000000002</v>
      </c>
      <c r="G18" s="36">
        <v>116.7</v>
      </c>
      <c r="H18" s="36">
        <v>93000.31</v>
      </c>
      <c r="I18" s="36">
        <v>16.91</v>
      </c>
      <c r="J18" s="35">
        <v>11.59</v>
      </c>
      <c r="K18" s="36">
        <v>47.42</v>
      </c>
      <c r="L18" s="36">
        <v>32.4</v>
      </c>
      <c r="M18" s="36">
        <v>6.1</v>
      </c>
      <c r="N18" s="36">
        <v>139.18</v>
      </c>
      <c r="O18" s="105" t="s">
        <v>156</v>
      </c>
      <c r="P18" s="91">
        <v>13</v>
      </c>
      <c r="Q18" s="5" t="s">
        <v>6</v>
      </c>
      <c r="R18" s="36">
        <v>1424.8798039999999</v>
      </c>
      <c r="S18" s="35">
        <v>945.57984650000003</v>
      </c>
      <c r="T18" s="36">
        <v>0</v>
      </c>
      <c r="U18" s="36">
        <v>1197.021201</v>
      </c>
      <c r="V18" s="36">
        <v>114.131</v>
      </c>
      <c r="W18" s="36">
        <v>113416.15764285714</v>
      </c>
      <c r="X18" s="36">
        <v>152.73412398000002</v>
      </c>
      <c r="Y18" s="35">
        <v>106.08183479799999</v>
      </c>
      <c r="Z18" s="36">
        <v>0</v>
      </c>
      <c r="AA18" s="36">
        <v>15.745246809000001</v>
      </c>
      <c r="AB18" s="36">
        <v>8.0988224999999989</v>
      </c>
      <c r="AC18" s="36">
        <v>170.049891</v>
      </c>
      <c r="AD18" s="105" t="s">
        <v>157</v>
      </c>
      <c r="AE18" s="1157">
        <v>13</v>
      </c>
      <c r="AF18" s="5" t="s">
        <v>157</v>
      </c>
      <c r="AG18" s="266">
        <v>1434.7361724999998</v>
      </c>
      <c r="AH18" s="36">
        <v>1400.5052545000001</v>
      </c>
      <c r="AI18" s="36">
        <v>0</v>
      </c>
      <c r="AJ18" s="36">
        <v>1151.20334845</v>
      </c>
      <c r="AK18" s="36">
        <v>207.34651250000002</v>
      </c>
      <c r="AL18" s="36">
        <v>106947.96118435715</v>
      </c>
      <c r="AM18" s="36">
        <v>153.52168943214286</v>
      </c>
      <c r="AN18" s="36">
        <v>117.42210455</v>
      </c>
      <c r="AO18" s="36">
        <v>0</v>
      </c>
      <c r="AP18" s="36">
        <v>15.30915828675</v>
      </c>
      <c r="AQ18" s="36">
        <v>14.81286675</v>
      </c>
      <c r="AR18" s="36">
        <v>160.34759599999995</v>
      </c>
      <c r="AS18" s="630" t="s">
        <v>6</v>
      </c>
    </row>
    <row r="19" spans="1:45" ht="24.95" customHeight="1">
      <c r="A19" s="91">
        <v>14</v>
      </c>
      <c r="B19" s="5" t="s">
        <v>6</v>
      </c>
      <c r="C19" s="36">
        <v>1254.98</v>
      </c>
      <c r="D19" s="35">
        <v>855.87</v>
      </c>
      <c r="E19" s="36">
        <v>0</v>
      </c>
      <c r="F19" s="36">
        <v>1691.68</v>
      </c>
      <c r="G19" s="36">
        <v>98.33</v>
      </c>
      <c r="H19" s="36">
        <v>118789.09</v>
      </c>
      <c r="I19" s="36">
        <v>152.57</v>
      </c>
      <c r="J19" s="35">
        <v>97.51</v>
      </c>
      <c r="K19" s="34">
        <v>0</v>
      </c>
      <c r="L19" s="36">
        <v>22.18</v>
      </c>
      <c r="M19" s="36">
        <v>7.11</v>
      </c>
      <c r="N19" s="36">
        <v>178.03</v>
      </c>
      <c r="O19" s="105" t="s">
        <v>157</v>
      </c>
      <c r="P19" s="91">
        <v>14</v>
      </c>
      <c r="Q19" s="5" t="s">
        <v>18</v>
      </c>
      <c r="R19" s="36">
        <v>0</v>
      </c>
      <c r="S19" s="35">
        <v>263.41699999999997</v>
      </c>
      <c r="T19" s="36">
        <v>93.652999999999992</v>
      </c>
      <c r="U19" s="36">
        <v>2028.097</v>
      </c>
      <c r="V19" s="36">
        <v>77.198000000000008</v>
      </c>
      <c r="W19" s="36">
        <v>48719.574999999997</v>
      </c>
      <c r="X19" s="36">
        <v>0</v>
      </c>
      <c r="Y19" s="35">
        <v>30.2592</v>
      </c>
      <c r="Z19" s="34">
        <v>1.3083999999999998</v>
      </c>
      <c r="AA19" s="36">
        <v>30.870899999999999</v>
      </c>
      <c r="AB19" s="36">
        <v>2.5027999999999997</v>
      </c>
      <c r="AC19" s="36">
        <v>41.554900000000004</v>
      </c>
      <c r="AD19" s="105" t="s">
        <v>158</v>
      </c>
      <c r="AE19" s="1157">
        <v>14</v>
      </c>
      <c r="AF19" s="5" t="s">
        <v>158</v>
      </c>
      <c r="AG19" s="266">
        <v>0</v>
      </c>
      <c r="AH19" s="36">
        <v>276.64599999999996</v>
      </c>
      <c r="AI19" s="36">
        <v>100.77000000000001</v>
      </c>
      <c r="AJ19" s="36">
        <v>2177.335</v>
      </c>
      <c r="AK19" s="36">
        <v>79.677999999999997</v>
      </c>
      <c r="AL19" s="36">
        <v>55317.106</v>
      </c>
      <c r="AM19" s="36">
        <v>0</v>
      </c>
      <c r="AN19" s="36">
        <v>31.811900000000001</v>
      </c>
      <c r="AO19" s="36">
        <v>1.4232</v>
      </c>
      <c r="AP19" s="36">
        <v>33.209199999999996</v>
      </c>
      <c r="AQ19" s="36">
        <v>2.5882499999999995</v>
      </c>
      <c r="AR19" s="36">
        <v>47.309999999999995</v>
      </c>
      <c r="AS19" s="630" t="s">
        <v>18</v>
      </c>
    </row>
    <row r="20" spans="1:45" ht="24.95" customHeight="1">
      <c r="A20" s="91">
        <v>15</v>
      </c>
      <c r="B20" s="5" t="s">
        <v>18</v>
      </c>
      <c r="C20" s="34">
        <v>0</v>
      </c>
      <c r="D20" s="35">
        <v>253.27</v>
      </c>
      <c r="E20" s="36">
        <v>81.33</v>
      </c>
      <c r="F20" s="36">
        <v>1826</v>
      </c>
      <c r="G20" s="36">
        <v>68.900000000000006</v>
      </c>
      <c r="H20" s="36">
        <v>43504.41</v>
      </c>
      <c r="I20" s="34">
        <v>0</v>
      </c>
      <c r="J20" s="35">
        <v>29.02</v>
      </c>
      <c r="K20" s="36">
        <v>1.1200000000000001</v>
      </c>
      <c r="L20" s="36">
        <v>27.91</v>
      </c>
      <c r="M20" s="36">
        <v>2.2400000000000002</v>
      </c>
      <c r="N20" s="36">
        <v>37.07</v>
      </c>
      <c r="O20" s="105" t="s">
        <v>158</v>
      </c>
      <c r="P20" s="91">
        <v>15</v>
      </c>
      <c r="Q20" s="5" t="s">
        <v>29</v>
      </c>
      <c r="R20" s="34">
        <v>0</v>
      </c>
      <c r="S20" s="35">
        <v>1210.259</v>
      </c>
      <c r="T20" s="36">
        <v>934.77100000000007</v>
      </c>
      <c r="U20" s="36">
        <v>9475.235999999999</v>
      </c>
      <c r="V20" s="36">
        <v>1240.7349999999999</v>
      </c>
      <c r="W20" s="36">
        <v>299596.42268100003</v>
      </c>
      <c r="X20" s="34">
        <v>0</v>
      </c>
      <c r="Y20" s="35">
        <v>224.59889421000003</v>
      </c>
      <c r="Z20" s="36">
        <v>11.6473567</v>
      </c>
      <c r="AA20" s="36">
        <v>127.140804</v>
      </c>
      <c r="AB20" s="36">
        <v>52.415053</v>
      </c>
      <c r="AC20" s="36">
        <v>724.07651999885047</v>
      </c>
      <c r="AD20" s="105" t="s">
        <v>159</v>
      </c>
      <c r="AE20" s="1157">
        <v>15</v>
      </c>
      <c r="AF20" s="5" t="s">
        <v>159</v>
      </c>
      <c r="AG20" s="266">
        <v>0</v>
      </c>
      <c r="AH20" s="36">
        <v>1227.1089999999999</v>
      </c>
      <c r="AI20" s="36">
        <v>933.80599999999993</v>
      </c>
      <c r="AJ20" s="36">
        <v>10006.973</v>
      </c>
      <c r="AK20" s="36">
        <v>1179.5269999999998</v>
      </c>
      <c r="AL20" s="36">
        <v>278068.58068099996</v>
      </c>
      <c r="AM20" s="36">
        <v>0</v>
      </c>
      <c r="AN20" s="36">
        <v>233.14757408</v>
      </c>
      <c r="AO20" s="36">
        <v>11.661857999999999</v>
      </c>
      <c r="AP20" s="36">
        <v>123.01382699999999</v>
      </c>
      <c r="AQ20" s="36">
        <v>49.420763700000002</v>
      </c>
      <c r="AR20" s="36">
        <v>691.66391999999996</v>
      </c>
      <c r="AS20" s="630" t="s">
        <v>29</v>
      </c>
    </row>
    <row r="21" spans="1:45" ht="24.95" customHeight="1">
      <c r="A21" s="91">
        <v>16</v>
      </c>
      <c r="B21" s="5" t="s">
        <v>29</v>
      </c>
      <c r="C21" s="34">
        <v>0</v>
      </c>
      <c r="D21" s="35">
        <v>1087.58</v>
      </c>
      <c r="E21" s="36">
        <v>1149.92</v>
      </c>
      <c r="F21" s="36">
        <v>10211.49</v>
      </c>
      <c r="G21" s="36">
        <v>1252.28</v>
      </c>
      <c r="H21" s="36">
        <v>357297.57</v>
      </c>
      <c r="I21" s="34">
        <v>0</v>
      </c>
      <c r="J21" s="35">
        <v>197.75</v>
      </c>
      <c r="K21" s="36">
        <v>12.73</v>
      </c>
      <c r="L21" s="36">
        <v>124.78</v>
      </c>
      <c r="M21" s="36">
        <v>53.02</v>
      </c>
      <c r="N21" s="36">
        <v>632.32000000000005</v>
      </c>
      <c r="O21" s="105" t="s">
        <v>159</v>
      </c>
      <c r="P21" s="91">
        <v>16</v>
      </c>
      <c r="Q21" s="5" t="s">
        <v>19</v>
      </c>
      <c r="R21" s="34">
        <v>97.635738095238096</v>
      </c>
      <c r="S21" s="35">
        <v>49.236595238095234</v>
      </c>
      <c r="T21" s="36">
        <v>12.911635714285715</v>
      </c>
      <c r="U21" s="36">
        <v>37.255335714285714</v>
      </c>
      <c r="V21" s="36">
        <v>142.84667142857143</v>
      </c>
      <c r="W21" s="36">
        <v>4185.5251833333341</v>
      </c>
      <c r="X21" s="34">
        <v>8.7760997991428589</v>
      </c>
      <c r="Y21" s="35">
        <v>4.9656975046666672</v>
      </c>
      <c r="Z21" s="36">
        <v>0.12687899821428569</v>
      </c>
      <c r="AA21" s="36">
        <v>0.35982809126190468</v>
      </c>
      <c r="AB21" s="36">
        <v>6.3337986306666663</v>
      </c>
      <c r="AC21" s="36">
        <v>8.1365713995238078</v>
      </c>
      <c r="AD21" s="105" t="s">
        <v>160</v>
      </c>
      <c r="AE21" s="1157">
        <v>16</v>
      </c>
      <c r="AF21" s="5" t="s">
        <v>160</v>
      </c>
      <c r="AG21" s="266">
        <v>105.6958527972028</v>
      </c>
      <c r="AH21" s="36">
        <v>58.611948115773117</v>
      </c>
      <c r="AI21" s="36">
        <v>53.279743453768454</v>
      </c>
      <c r="AJ21" s="36">
        <v>79.459193881118878</v>
      </c>
      <c r="AK21" s="36">
        <v>139.46841208236208</v>
      </c>
      <c r="AL21" s="36">
        <v>4030.7094555069934</v>
      </c>
      <c r="AM21" s="36">
        <v>8.3220968159928113</v>
      </c>
      <c r="AN21" s="36">
        <v>5.6275509212827313</v>
      </c>
      <c r="AO21" s="36">
        <v>0.5088758671446193</v>
      </c>
      <c r="AP21" s="36">
        <v>0.70967617100650748</v>
      </c>
      <c r="AQ21" s="36">
        <v>6.3896695229832945</v>
      </c>
      <c r="AR21" s="36">
        <v>7.7412451278709211</v>
      </c>
      <c r="AS21" s="630" t="s">
        <v>19</v>
      </c>
    </row>
    <row r="22" spans="1:45" ht="24.95" customHeight="1">
      <c r="A22" s="91">
        <v>17</v>
      </c>
      <c r="B22" s="5" t="s">
        <v>19</v>
      </c>
      <c r="C22" s="36">
        <v>86.88</v>
      </c>
      <c r="D22" s="35">
        <v>48.52</v>
      </c>
      <c r="E22" s="36">
        <v>11.06</v>
      </c>
      <c r="F22" s="36">
        <v>40.549999999999997</v>
      </c>
      <c r="G22" s="36">
        <v>143.06</v>
      </c>
      <c r="H22" s="36">
        <v>4259.08</v>
      </c>
      <c r="I22" s="36">
        <v>7.91</v>
      </c>
      <c r="J22" s="35">
        <v>4.9400000000000004</v>
      </c>
      <c r="K22" s="36">
        <v>0.11</v>
      </c>
      <c r="L22" s="36">
        <v>0.4</v>
      </c>
      <c r="M22" s="36">
        <v>6.62</v>
      </c>
      <c r="N22" s="36">
        <v>8.07</v>
      </c>
      <c r="O22" s="105" t="s">
        <v>160</v>
      </c>
      <c r="P22" s="91">
        <v>17</v>
      </c>
      <c r="Q22" s="5" t="s">
        <v>8</v>
      </c>
      <c r="R22" s="36">
        <v>275.04699999999997</v>
      </c>
      <c r="S22" s="35">
        <v>5.32</v>
      </c>
      <c r="T22" s="36">
        <v>0</v>
      </c>
      <c r="U22" s="36"/>
      <c r="V22" s="36">
        <v>334.58499999999998</v>
      </c>
      <c r="W22" s="36">
        <v>3262.3429999999998</v>
      </c>
      <c r="X22" s="36">
        <v>24.7</v>
      </c>
      <c r="Y22" s="35">
        <v>0.62799999999999989</v>
      </c>
      <c r="Z22" s="36">
        <v>0</v>
      </c>
      <c r="AA22" s="36">
        <v>1.2389700000000001</v>
      </c>
      <c r="AB22" s="36">
        <v>15.27164</v>
      </c>
      <c r="AC22" s="36">
        <v>4.5099699999999991</v>
      </c>
      <c r="AD22" s="105" t="s">
        <v>161</v>
      </c>
      <c r="AE22" s="1157">
        <v>17</v>
      </c>
      <c r="AF22" s="5" t="s">
        <v>161</v>
      </c>
      <c r="AG22" s="266">
        <v>230.13699999999997</v>
      </c>
      <c r="AH22" s="36">
        <v>5.7490000000000006</v>
      </c>
      <c r="AI22" s="36">
        <v>0</v>
      </c>
      <c r="AJ22" s="36">
        <v>114.843</v>
      </c>
      <c r="AK22" s="36">
        <v>282.49</v>
      </c>
      <c r="AL22" s="36">
        <v>2965.6970000000001</v>
      </c>
      <c r="AM22" s="36">
        <v>20.641999999999999</v>
      </c>
      <c r="AN22" s="36">
        <v>0.67400000000000004</v>
      </c>
      <c r="AO22" s="36">
        <v>0</v>
      </c>
      <c r="AP22" s="36">
        <v>1.089</v>
      </c>
      <c r="AQ22" s="36">
        <v>12.901399999999999</v>
      </c>
      <c r="AR22" s="36">
        <v>4.1492000000000004</v>
      </c>
      <c r="AS22" s="630" t="s">
        <v>8</v>
      </c>
    </row>
    <row r="23" spans="1:45" ht="24.95" customHeight="1">
      <c r="A23" s="91">
        <v>18</v>
      </c>
      <c r="B23" s="5" t="s">
        <v>8</v>
      </c>
      <c r="C23" s="36">
        <v>265.02999999999997</v>
      </c>
      <c r="D23" s="35">
        <v>5.52</v>
      </c>
      <c r="E23" s="34">
        <v>0</v>
      </c>
      <c r="F23" s="36">
        <v>128.94</v>
      </c>
      <c r="G23" s="36">
        <v>336.23</v>
      </c>
      <c r="H23" s="36">
        <v>3344.68</v>
      </c>
      <c r="I23" s="36">
        <v>23.77</v>
      </c>
      <c r="J23" s="35">
        <v>0.66</v>
      </c>
      <c r="K23" s="34">
        <v>0</v>
      </c>
      <c r="L23" s="36">
        <v>1.25</v>
      </c>
      <c r="M23" s="36">
        <v>14.93</v>
      </c>
      <c r="N23" s="36">
        <v>4.6399999999999997</v>
      </c>
      <c r="O23" s="105" t="s">
        <v>161</v>
      </c>
      <c r="P23" s="91">
        <v>18</v>
      </c>
      <c r="Q23" s="5" t="s">
        <v>30</v>
      </c>
      <c r="R23" s="36">
        <v>44.664999999999999</v>
      </c>
      <c r="S23" s="35">
        <v>1.7119999999999997</v>
      </c>
      <c r="T23" s="34">
        <v>1.2749999999999999</v>
      </c>
      <c r="U23" s="36">
        <v>18.177000000000003</v>
      </c>
      <c r="V23" s="36">
        <v>93.49499999999999</v>
      </c>
      <c r="W23" s="36">
        <v>1142.778</v>
      </c>
      <c r="X23" s="36">
        <v>5.7238199999999999</v>
      </c>
      <c r="Y23" s="35">
        <v>0.23481000000000002</v>
      </c>
      <c r="Z23" s="34">
        <v>1.0620000000000001E-2</v>
      </c>
      <c r="AA23" s="36">
        <v>0.15205000000000002</v>
      </c>
      <c r="AB23" s="36">
        <v>8.0599500000000006</v>
      </c>
      <c r="AC23" s="36">
        <v>2.2282800000000003</v>
      </c>
      <c r="AD23" s="105" t="s">
        <v>162</v>
      </c>
      <c r="AE23" s="1157">
        <v>18</v>
      </c>
      <c r="AF23" s="5" t="s">
        <v>162</v>
      </c>
      <c r="AG23" s="266">
        <v>34.578000000000003</v>
      </c>
      <c r="AH23" s="36">
        <v>1.9499999999999997</v>
      </c>
      <c r="AI23" s="36">
        <v>0</v>
      </c>
      <c r="AJ23" s="36">
        <v>19.533999999999999</v>
      </c>
      <c r="AK23" s="36">
        <v>70.516000000000005</v>
      </c>
      <c r="AL23" s="36">
        <v>2072.4759999999997</v>
      </c>
      <c r="AM23" s="36">
        <v>4.42692</v>
      </c>
      <c r="AN23" s="36">
        <v>0.26966999999999997</v>
      </c>
      <c r="AO23" s="36">
        <v>0</v>
      </c>
      <c r="AP23" s="36">
        <v>0.15923999999999999</v>
      </c>
      <c r="AQ23" s="36">
        <v>6.0536399999999997</v>
      </c>
      <c r="AR23" s="36">
        <v>4.1554000000000002</v>
      </c>
      <c r="AS23" s="630" t="s">
        <v>30</v>
      </c>
    </row>
    <row r="24" spans="1:45" ht="24.95" customHeight="1">
      <c r="A24" s="91">
        <v>19</v>
      </c>
      <c r="B24" s="5" t="s">
        <v>30</v>
      </c>
      <c r="C24" s="36">
        <v>43.75</v>
      </c>
      <c r="D24" s="35">
        <v>1.66</v>
      </c>
      <c r="E24" s="34">
        <v>0</v>
      </c>
      <c r="F24" s="36">
        <v>18.5</v>
      </c>
      <c r="G24" s="36">
        <v>92.26</v>
      </c>
      <c r="H24" s="36">
        <v>1127.18</v>
      </c>
      <c r="I24" s="36">
        <v>5.61</v>
      </c>
      <c r="J24" s="35">
        <v>0.19</v>
      </c>
      <c r="K24" s="34">
        <v>0</v>
      </c>
      <c r="L24" s="36">
        <v>0.19</v>
      </c>
      <c r="M24" s="36">
        <v>7.95</v>
      </c>
      <c r="N24" s="36">
        <v>2.1800000000000002</v>
      </c>
      <c r="O24" s="105" t="s">
        <v>162</v>
      </c>
      <c r="P24" s="91">
        <v>19</v>
      </c>
      <c r="Q24" s="5" t="s">
        <v>31</v>
      </c>
      <c r="R24" s="36">
        <v>247.27749999999997</v>
      </c>
      <c r="S24" s="35"/>
      <c r="T24" s="34">
        <v>0</v>
      </c>
      <c r="U24" s="36">
        <v>42.841470000000001</v>
      </c>
      <c r="V24" s="36">
        <v>212.05189999999999</v>
      </c>
      <c r="W24" s="36">
        <v>518.82650000000001</v>
      </c>
      <c r="X24" s="36">
        <v>9.7053343499999993</v>
      </c>
      <c r="Y24" s="35">
        <v>4.3657859999999999</v>
      </c>
      <c r="Z24" s="34">
        <v>0</v>
      </c>
      <c r="AA24" s="36">
        <v>0.66561799999999993</v>
      </c>
      <c r="AB24" s="36">
        <v>16.939207500000002</v>
      </c>
      <c r="AC24" s="36">
        <v>0.41704735000000004</v>
      </c>
      <c r="AD24" s="105" t="s">
        <v>163</v>
      </c>
      <c r="AE24" s="1157">
        <v>19</v>
      </c>
      <c r="AF24" s="5" t="s">
        <v>163</v>
      </c>
      <c r="AG24" s="266">
        <v>216.09094047618999</v>
      </c>
      <c r="AH24" s="36">
        <v>21.867999999999999</v>
      </c>
      <c r="AI24" s="36">
        <v>0</v>
      </c>
      <c r="AJ24" s="36">
        <v>33.498999999999995</v>
      </c>
      <c r="AK24" s="36">
        <v>156.42500000000004</v>
      </c>
      <c r="AL24" s="36">
        <v>634.50599999999997</v>
      </c>
      <c r="AM24" s="36">
        <v>7.0373900000000003</v>
      </c>
      <c r="AN24" s="36">
        <v>3.1812230000000001</v>
      </c>
      <c r="AO24" s="36">
        <v>0</v>
      </c>
      <c r="AP24" s="36">
        <v>0.52720899999999993</v>
      </c>
      <c r="AQ24" s="36">
        <v>12.535911</v>
      </c>
      <c r="AR24" s="36">
        <v>0.51027800000000001</v>
      </c>
      <c r="AS24" s="630" t="s">
        <v>31</v>
      </c>
    </row>
    <row r="25" spans="1:45" ht="24.95" customHeight="1">
      <c r="A25" s="91">
        <v>20</v>
      </c>
      <c r="B25" s="5" t="s">
        <v>31</v>
      </c>
      <c r="C25" s="36">
        <v>78.150000000000006</v>
      </c>
      <c r="D25" s="35">
        <v>26.84</v>
      </c>
      <c r="E25" s="34">
        <v>0</v>
      </c>
      <c r="F25" s="36">
        <v>42.19</v>
      </c>
      <c r="G25" s="36">
        <v>199.46</v>
      </c>
      <c r="H25" s="36">
        <v>687.92</v>
      </c>
      <c r="I25" s="36">
        <v>9.67</v>
      </c>
      <c r="J25" s="35">
        <v>4.3499999999999996</v>
      </c>
      <c r="K25" s="34">
        <v>0</v>
      </c>
      <c r="L25" s="36">
        <v>0.66</v>
      </c>
      <c r="M25" s="36">
        <v>15.77</v>
      </c>
      <c r="N25" s="36">
        <v>1.83</v>
      </c>
      <c r="O25" s="105" t="s">
        <v>163</v>
      </c>
      <c r="P25" s="91">
        <v>20</v>
      </c>
      <c r="Q25" s="5" t="s">
        <v>9</v>
      </c>
      <c r="R25" s="36">
        <v>0</v>
      </c>
      <c r="S25" s="35">
        <v>0</v>
      </c>
      <c r="T25" s="34">
        <v>1542.668705</v>
      </c>
      <c r="U25" s="36">
        <v>6491.8980000000001</v>
      </c>
      <c r="V25" s="36">
        <v>148.39150000000001</v>
      </c>
      <c r="W25" s="36">
        <v>66274.173999999999</v>
      </c>
      <c r="X25" s="36">
        <v>0</v>
      </c>
      <c r="Y25" s="35">
        <v>0</v>
      </c>
      <c r="Z25" s="34">
        <v>17.917918544999999</v>
      </c>
      <c r="AA25" s="36">
        <v>79.92890217499999</v>
      </c>
      <c r="AB25" s="36">
        <v>5.3620582500000005</v>
      </c>
      <c r="AC25" s="36">
        <v>101.47168059999998</v>
      </c>
      <c r="AD25" s="105" t="s">
        <v>164</v>
      </c>
      <c r="AE25" s="1157">
        <v>20</v>
      </c>
      <c r="AF25" s="5" t="s">
        <v>164</v>
      </c>
      <c r="AG25" s="266">
        <v>0</v>
      </c>
      <c r="AH25" s="36">
        <v>0</v>
      </c>
      <c r="AI25" s="36">
        <v>1508.0678250000001</v>
      </c>
      <c r="AJ25" s="36">
        <v>6597.0535</v>
      </c>
      <c r="AK25" s="36">
        <v>150.328</v>
      </c>
      <c r="AL25" s="36">
        <v>71442.302800000005</v>
      </c>
      <c r="AM25" s="36">
        <v>0</v>
      </c>
      <c r="AN25" s="36">
        <v>0</v>
      </c>
      <c r="AO25" s="36">
        <v>17.445566453000001</v>
      </c>
      <c r="AP25" s="36">
        <v>80.485711975000001</v>
      </c>
      <c r="AQ25" s="36">
        <v>5.4258542500000004</v>
      </c>
      <c r="AR25" s="36">
        <v>109.739218044</v>
      </c>
      <c r="AS25" s="630" t="s">
        <v>9</v>
      </c>
    </row>
    <row r="26" spans="1:45" ht="24.95" customHeight="1" thickBot="1">
      <c r="A26" s="91">
        <v>21</v>
      </c>
      <c r="B26" s="5" t="s">
        <v>9</v>
      </c>
      <c r="C26" s="34">
        <v>0</v>
      </c>
      <c r="D26" s="34">
        <v>0</v>
      </c>
      <c r="E26" s="36">
        <v>1518.56</v>
      </c>
      <c r="F26" s="36">
        <v>6207.23</v>
      </c>
      <c r="G26" s="36">
        <v>249.57</v>
      </c>
      <c r="H26" s="36">
        <v>62056.3</v>
      </c>
      <c r="I26" s="34">
        <v>0</v>
      </c>
      <c r="J26" s="34">
        <v>0</v>
      </c>
      <c r="K26" s="36">
        <v>17.55</v>
      </c>
      <c r="L26" s="36">
        <v>77.010000000000005</v>
      </c>
      <c r="M26" s="36">
        <v>9.02</v>
      </c>
      <c r="N26" s="36">
        <v>98.25</v>
      </c>
      <c r="O26" s="105" t="s">
        <v>164</v>
      </c>
      <c r="P26" s="91">
        <v>21</v>
      </c>
      <c r="Q26" s="5" t="s">
        <v>32</v>
      </c>
      <c r="R26" s="34">
        <v>0</v>
      </c>
      <c r="S26" s="34">
        <v>798.92399999999998</v>
      </c>
      <c r="T26" s="36">
        <v>253.87200000000001</v>
      </c>
      <c r="U26" s="36">
        <v>579.86950000000002</v>
      </c>
      <c r="V26" s="36">
        <v>20.555500000000002</v>
      </c>
      <c r="W26" s="36">
        <v>96885.895700000008</v>
      </c>
      <c r="X26" s="34">
        <v>0</v>
      </c>
      <c r="Y26" s="34">
        <v>110.04547917899997</v>
      </c>
      <c r="Z26" s="36">
        <v>3.8984487414000002</v>
      </c>
      <c r="AA26" s="36">
        <v>9.0994122925000003</v>
      </c>
      <c r="AB26" s="36">
        <v>1.156973174</v>
      </c>
      <c r="AC26" s="36">
        <v>124.17482367299999</v>
      </c>
      <c r="AD26" s="105" t="s">
        <v>165</v>
      </c>
      <c r="AE26" s="191">
        <v>21</v>
      </c>
      <c r="AF26" s="158" t="s">
        <v>165</v>
      </c>
      <c r="AG26" s="267">
        <v>0</v>
      </c>
      <c r="AH26" s="213">
        <v>667.51799999999992</v>
      </c>
      <c r="AI26" s="213">
        <v>208.76000000000002</v>
      </c>
      <c r="AJ26" s="213">
        <v>459.017</v>
      </c>
      <c r="AK26" s="213">
        <v>30.466999999999999</v>
      </c>
      <c r="AL26" s="213">
        <v>130675.875</v>
      </c>
      <c r="AM26" s="213">
        <v>0</v>
      </c>
      <c r="AN26" s="213">
        <v>89.210629357999991</v>
      </c>
      <c r="AO26" s="213">
        <v>3.2033479354999996</v>
      </c>
      <c r="AP26" s="213">
        <v>7.2027774360000016</v>
      </c>
      <c r="AQ26" s="213">
        <v>1.7272597459999999</v>
      </c>
      <c r="AR26" s="213">
        <v>122.400346336</v>
      </c>
      <c r="AS26" s="1444" t="s">
        <v>32</v>
      </c>
    </row>
    <row r="27" spans="1:45" ht="24.95" customHeight="1" thickTop="1">
      <c r="A27" s="91">
        <v>22</v>
      </c>
      <c r="B27" s="5" t="s">
        <v>32</v>
      </c>
      <c r="C27" s="34">
        <v>0</v>
      </c>
      <c r="D27" s="35">
        <v>672.92</v>
      </c>
      <c r="E27" s="36">
        <v>246.85</v>
      </c>
      <c r="F27" s="36">
        <v>563.67999999999995</v>
      </c>
      <c r="G27" s="36">
        <v>19.329999999999998</v>
      </c>
      <c r="H27" s="36">
        <v>133822.15</v>
      </c>
      <c r="I27" s="34">
        <v>0</v>
      </c>
      <c r="J27" s="35">
        <v>92.58</v>
      </c>
      <c r="K27" s="36">
        <v>3.79</v>
      </c>
      <c r="L27" s="36">
        <v>8.84</v>
      </c>
      <c r="M27" s="36">
        <v>1.0900000000000001</v>
      </c>
      <c r="N27" s="36">
        <v>125.03</v>
      </c>
      <c r="O27" s="105" t="s">
        <v>165</v>
      </c>
      <c r="P27" s="91">
        <v>22</v>
      </c>
      <c r="Q27" s="5" t="s">
        <v>33</v>
      </c>
      <c r="R27" s="34">
        <v>0</v>
      </c>
      <c r="S27" s="35">
        <v>987.63066785714295</v>
      </c>
      <c r="T27" s="36">
        <v>2984.1388000000002</v>
      </c>
      <c r="U27" s="36">
        <v>7086.0768196428571</v>
      </c>
      <c r="V27" s="36">
        <v>229.19710833333332</v>
      </c>
      <c r="W27" s="36">
        <v>7565.4594374999997</v>
      </c>
      <c r="X27" s="34">
        <v>0</v>
      </c>
      <c r="Y27" s="35">
        <v>48.588374398376104</v>
      </c>
      <c r="Z27" s="36">
        <v>39.62321030721597</v>
      </c>
      <c r="AA27" s="36">
        <v>92.031360846031049</v>
      </c>
      <c r="AB27" s="36">
        <v>8.8108099276959315</v>
      </c>
      <c r="AC27" s="36">
        <v>10.53375941958895</v>
      </c>
      <c r="AD27" s="105" t="s">
        <v>166</v>
      </c>
      <c r="AE27" s="1667">
        <v>22</v>
      </c>
      <c r="AF27" s="153" t="s">
        <v>166</v>
      </c>
      <c r="AG27" s="1668">
        <v>0</v>
      </c>
      <c r="AH27" s="1668">
        <v>1045.1598750000001</v>
      </c>
      <c r="AI27" s="1668">
        <v>4145.9653125000004</v>
      </c>
      <c r="AJ27" s="1668">
        <v>6605.0488750000004</v>
      </c>
      <c r="AK27" s="1668">
        <v>249.86745833333333</v>
      </c>
      <c r="AL27" s="1668">
        <v>13045.512062500002</v>
      </c>
      <c r="AM27" s="1668">
        <v>0</v>
      </c>
      <c r="AN27" s="1668">
        <v>49.763162315558219</v>
      </c>
      <c r="AO27" s="1668">
        <v>51.413855467726918</v>
      </c>
      <c r="AP27" s="1668">
        <v>85.580275976144065</v>
      </c>
      <c r="AQ27" s="1668">
        <v>9.2993477618186411</v>
      </c>
      <c r="AR27" s="1668">
        <v>16.523521636791536</v>
      </c>
      <c r="AS27" s="1669" t="s">
        <v>33</v>
      </c>
    </row>
    <row r="28" spans="1:45" ht="24.95" customHeight="1">
      <c r="A28" s="91">
        <v>23</v>
      </c>
      <c r="B28" s="5" t="s">
        <v>33</v>
      </c>
      <c r="C28" s="34">
        <v>0</v>
      </c>
      <c r="D28" s="35">
        <v>838.24</v>
      </c>
      <c r="E28" s="36">
        <v>3910.08</v>
      </c>
      <c r="F28" s="36">
        <v>6003.01</v>
      </c>
      <c r="G28" s="36">
        <v>241.5</v>
      </c>
      <c r="H28" s="36">
        <v>7424.22</v>
      </c>
      <c r="I28" s="34">
        <v>0</v>
      </c>
      <c r="J28" s="35">
        <v>41.52</v>
      </c>
      <c r="K28" s="36">
        <v>51.47</v>
      </c>
      <c r="L28" s="36">
        <v>78.66</v>
      </c>
      <c r="M28" s="36">
        <v>9.17</v>
      </c>
      <c r="N28" s="36">
        <v>10.85</v>
      </c>
      <c r="O28" s="105" t="s">
        <v>166</v>
      </c>
      <c r="P28" s="91">
        <v>23</v>
      </c>
      <c r="Q28" s="5" t="s">
        <v>11</v>
      </c>
      <c r="R28" s="34">
        <v>15.224450000000003</v>
      </c>
      <c r="S28" s="35">
        <v>1.899</v>
      </c>
      <c r="T28" s="36">
        <v>0</v>
      </c>
      <c r="U28" s="36">
        <v>4.1602250000000005</v>
      </c>
      <c r="V28" s="36">
        <v>15.022908333333334</v>
      </c>
      <c r="W28" s="36">
        <v>231.81062500000002</v>
      </c>
      <c r="X28" s="34">
        <v>1.62510165</v>
      </c>
      <c r="Y28" s="35">
        <v>0.30466662999999994</v>
      </c>
      <c r="Z28" s="36">
        <v>0</v>
      </c>
      <c r="AA28" s="36">
        <v>7.6997246000000019E-2</v>
      </c>
      <c r="AB28" s="36">
        <v>1.0683928970833334</v>
      </c>
      <c r="AC28" s="36">
        <v>0.68972408625000003</v>
      </c>
      <c r="AD28" s="105" t="s">
        <v>167</v>
      </c>
      <c r="AE28" s="1158">
        <v>23</v>
      </c>
      <c r="AF28" s="5" t="s">
        <v>167</v>
      </c>
      <c r="AG28" s="268">
        <v>10.187750000000001</v>
      </c>
      <c r="AH28" s="212">
        <v>1.0957000000000001</v>
      </c>
      <c r="AI28" s="212">
        <v>0</v>
      </c>
      <c r="AJ28" s="212">
        <v>7.0792000000000002</v>
      </c>
      <c r="AK28" s="212">
        <v>11.565750000000001</v>
      </c>
      <c r="AL28" s="212">
        <v>564.23467499999992</v>
      </c>
      <c r="AM28" s="212">
        <v>1.05021225</v>
      </c>
      <c r="AN28" s="212">
        <v>0.17695681099999999</v>
      </c>
      <c r="AO28" s="212">
        <v>0</v>
      </c>
      <c r="AP28" s="212">
        <v>9.9832649999999995E-2</v>
      </c>
      <c r="AQ28" s="212">
        <v>1.2810197000000001</v>
      </c>
      <c r="AR28" s="212">
        <v>0.99209359525000007</v>
      </c>
      <c r="AS28" s="1445" t="s">
        <v>11</v>
      </c>
    </row>
    <row r="29" spans="1:45" ht="24.95" customHeight="1">
      <c r="A29" s="91">
        <v>24</v>
      </c>
      <c r="B29" s="5" t="s">
        <v>11</v>
      </c>
      <c r="C29" s="36">
        <v>15.02</v>
      </c>
      <c r="D29" s="35">
        <v>1.81</v>
      </c>
      <c r="E29" s="34">
        <v>0</v>
      </c>
      <c r="F29" s="36">
        <v>6.34</v>
      </c>
      <c r="G29" s="36">
        <v>14.42</v>
      </c>
      <c r="H29" s="36">
        <v>809.25</v>
      </c>
      <c r="I29" s="36">
        <v>1.56</v>
      </c>
      <c r="J29" s="35">
        <v>0.28999999999999998</v>
      </c>
      <c r="K29" s="34">
        <v>0</v>
      </c>
      <c r="L29" s="36">
        <v>0.1</v>
      </c>
      <c r="M29" s="36">
        <v>1.06</v>
      </c>
      <c r="N29" s="36">
        <v>0.7</v>
      </c>
      <c r="O29" s="105" t="s">
        <v>167</v>
      </c>
      <c r="P29" s="91">
        <v>24</v>
      </c>
      <c r="Q29" s="5" t="s">
        <v>12</v>
      </c>
      <c r="R29" s="36">
        <v>414.40913673271177</v>
      </c>
      <c r="S29" s="35">
        <v>22.376999999999999</v>
      </c>
      <c r="T29" s="34">
        <v>5182.9413999958379</v>
      </c>
      <c r="U29" s="36">
        <v>6019.9620514874023</v>
      </c>
      <c r="V29" s="36">
        <v>99.01911677350428</v>
      </c>
      <c r="W29" s="36">
        <v>300486.89505686366</v>
      </c>
      <c r="X29" s="36">
        <v>50.864996872354759</v>
      </c>
      <c r="Y29" s="35">
        <v>3.0832796500000001</v>
      </c>
      <c r="Z29" s="34">
        <v>63.984681111223594</v>
      </c>
      <c r="AA29" s="36">
        <v>65.876999743513295</v>
      </c>
      <c r="AB29" s="36">
        <v>3.9366445259077225</v>
      </c>
      <c r="AC29" s="36">
        <v>475.7127857914229</v>
      </c>
      <c r="AD29" s="105" t="s">
        <v>168</v>
      </c>
      <c r="AE29" s="1157">
        <v>24</v>
      </c>
      <c r="AF29" s="5" t="s">
        <v>168</v>
      </c>
      <c r="AG29" s="266">
        <v>414.7956829170829</v>
      </c>
      <c r="AH29" s="36">
        <v>22.31</v>
      </c>
      <c r="AI29" s="36">
        <v>5212.7192916944168</v>
      </c>
      <c r="AJ29" s="36">
        <v>6083.5850331751581</v>
      </c>
      <c r="AK29" s="36">
        <v>99.152757249694758</v>
      </c>
      <c r="AL29" s="36">
        <v>302530.50575695664</v>
      </c>
      <c r="AM29" s="36">
        <v>50.998132701749618</v>
      </c>
      <c r="AN29" s="36">
        <v>3.0770073999999998</v>
      </c>
      <c r="AO29" s="36">
        <v>64.457223531349058</v>
      </c>
      <c r="AP29" s="36">
        <v>66.868487827954539</v>
      </c>
      <c r="AQ29" s="36">
        <v>3.9464555935674928</v>
      </c>
      <c r="AR29" s="36">
        <v>480.13054293546776</v>
      </c>
      <c r="AS29" s="630" t="s">
        <v>12</v>
      </c>
    </row>
    <row r="30" spans="1:45" ht="24.95" customHeight="1">
      <c r="A30" s="91">
        <v>25</v>
      </c>
      <c r="B30" s="5" t="s">
        <v>12</v>
      </c>
      <c r="C30" s="36">
        <v>396.93</v>
      </c>
      <c r="D30" s="35">
        <v>21.54</v>
      </c>
      <c r="E30" s="36">
        <v>5011.71</v>
      </c>
      <c r="F30" s="36">
        <v>5757.45</v>
      </c>
      <c r="G30" s="36">
        <v>94.09</v>
      </c>
      <c r="H30" s="36">
        <v>289666.59999999998</v>
      </c>
      <c r="I30" s="36">
        <v>48.63</v>
      </c>
      <c r="J30" s="35">
        <v>2.97</v>
      </c>
      <c r="K30" s="36">
        <v>60.64</v>
      </c>
      <c r="L30" s="36">
        <v>62.33</v>
      </c>
      <c r="M30" s="36">
        <v>3.72</v>
      </c>
      <c r="N30" s="36">
        <v>455.51</v>
      </c>
      <c r="O30" s="105" t="s">
        <v>168</v>
      </c>
      <c r="P30" s="91">
        <v>25</v>
      </c>
      <c r="Q30" s="5" t="s">
        <v>39</v>
      </c>
      <c r="R30" s="36">
        <v>0</v>
      </c>
      <c r="S30" s="35">
        <v>1076.1394999999998</v>
      </c>
      <c r="T30" s="36">
        <v>20639.964500000002</v>
      </c>
      <c r="U30" s="36">
        <v>5570.5984999999991</v>
      </c>
      <c r="V30" s="36">
        <v>150.31049999999999</v>
      </c>
      <c r="W30" s="36">
        <v>264593.75349999999</v>
      </c>
      <c r="X30" s="36">
        <v>0</v>
      </c>
      <c r="Y30" s="35">
        <v>122.34399999999999</v>
      </c>
      <c r="Z30" s="36">
        <v>288.37750000000005</v>
      </c>
      <c r="AA30" s="36">
        <v>69.64500000000001</v>
      </c>
      <c r="AB30" s="36">
        <v>3.944</v>
      </c>
      <c r="AC30" s="36">
        <v>363.84550000000002</v>
      </c>
      <c r="AD30" s="105" t="s">
        <v>169</v>
      </c>
      <c r="AE30" s="1157">
        <v>25</v>
      </c>
      <c r="AF30" s="5" t="s">
        <v>169</v>
      </c>
      <c r="AG30" s="266">
        <v>0</v>
      </c>
      <c r="AH30" s="36">
        <v>1159.5395000000001</v>
      </c>
      <c r="AI30" s="36">
        <v>21534.05</v>
      </c>
      <c r="AJ30" s="36">
        <v>5771.2149999999992</v>
      </c>
      <c r="AK30" s="36">
        <v>152.37049999999999</v>
      </c>
      <c r="AL30" s="36">
        <v>298063.96049999999</v>
      </c>
      <c r="AM30" s="36">
        <v>0</v>
      </c>
      <c r="AN30" s="36">
        <v>129.92149999999998</v>
      </c>
      <c r="AO30" s="36">
        <v>303.49149999999992</v>
      </c>
      <c r="AP30" s="36">
        <v>72.480499999999992</v>
      </c>
      <c r="AQ30" s="36">
        <v>4.0530000000000008</v>
      </c>
      <c r="AR30" s="36">
        <v>410.30499999999995</v>
      </c>
      <c r="AS30" s="630" t="s">
        <v>39</v>
      </c>
    </row>
    <row r="31" spans="1:45" ht="24.95" customHeight="1">
      <c r="A31" s="91">
        <v>26</v>
      </c>
      <c r="B31" s="5" t="s">
        <v>39</v>
      </c>
      <c r="C31" s="34">
        <v>0.04</v>
      </c>
      <c r="D31" s="35">
        <v>1030.77</v>
      </c>
      <c r="E31" s="36">
        <v>17723.91</v>
      </c>
      <c r="F31" s="36">
        <v>5277.47</v>
      </c>
      <c r="G31" s="36">
        <v>149.69999999999999</v>
      </c>
      <c r="H31" s="36">
        <v>259061.64</v>
      </c>
      <c r="I31" s="34">
        <v>0</v>
      </c>
      <c r="J31" s="35">
        <v>112.4</v>
      </c>
      <c r="K31" s="36">
        <v>236.59</v>
      </c>
      <c r="L31" s="36">
        <v>64.989999999999995</v>
      </c>
      <c r="M31" s="36">
        <v>3.75</v>
      </c>
      <c r="N31" s="36">
        <v>336.33</v>
      </c>
      <c r="O31" s="105" t="s">
        <v>169</v>
      </c>
      <c r="P31" s="91">
        <v>26</v>
      </c>
      <c r="Q31" s="5" t="s">
        <v>34</v>
      </c>
      <c r="R31" s="34">
        <v>0</v>
      </c>
      <c r="S31" s="35">
        <v>0</v>
      </c>
      <c r="T31" s="36">
        <v>0</v>
      </c>
      <c r="U31" s="36">
        <v>419.577697</v>
      </c>
      <c r="V31" s="36">
        <v>235.60619</v>
      </c>
      <c r="W31" s="36">
        <v>21988.827499999999</v>
      </c>
      <c r="X31" s="34">
        <v>0</v>
      </c>
      <c r="Y31" s="35">
        <v>0</v>
      </c>
      <c r="Z31" s="36">
        <v>0</v>
      </c>
      <c r="AA31" s="36">
        <v>1.9329828980468946</v>
      </c>
      <c r="AB31" s="36">
        <v>14.890552744034473</v>
      </c>
      <c r="AC31" s="36">
        <v>33.749312273525398</v>
      </c>
      <c r="AD31" s="105" t="s">
        <v>170</v>
      </c>
      <c r="AE31" s="1157">
        <v>26</v>
      </c>
      <c r="AF31" s="5" t="s">
        <v>170</v>
      </c>
      <c r="AG31" s="266">
        <v>0</v>
      </c>
      <c r="AH31" s="36">
        <v>0</v>
      </c>
      <c r="AI31" s="36">
        <v>0</v>
      </c>
      <c r="AJ31" s="36">
        <v>449.62263095238097</v>
      </c>
      <c r="AK31" s="36">
        <v>236.40868095238096</v>
      </c>
      <c r="AL31" s="36">
        <v>22582.986045238096</v>
      </c>
      <c r="AM31" s="36">
        <v>0</v>
      </c>
      <c r="AN31" s="36">
        <v>0</v>
      </c>
      <c r="AO31" s="36">
        <v>0</v>
      </c>
      <c r="AP31" s="36">
        <v>2.1390422780880951</v>
      </c>
      <c r="AQ31" s="36">
        <v>15.451126309257145</v>
      </c>
      <c r="AR31" s="36">
        <v>34.594134404204752</v>
      </c>
      <c r="AS31" s="630" t="s">
        <v>34</v>
      </c>
    </row>
    <row r="32" spans="1:45" ht="24.95" customHeight="1">
      <c r="A32" s="91">
        <v>27</v>
      </c>
      <c r="B32" s="5" t="s">
        <v>34</v>
      </c>
      <c r="C32" s="34">
        <v>0</v>
      </c>
      <c r="D32" s="34">
        <v>0</v>
      </c>
      <c r="E32" s="34">
        <v>0</v>
      </c>
      <c r="F32" s="36">
        <v>403.99</v>
      </c>
      <c r="G32" s="36">
        <v>247.43</v>
      </c>
      <c r="H32" s="36">
        <v>19605.62</v>
      </c>
      <c r="I32" s="34">
        <v>0</v>
      </c>
      <c r="J32" s="34">
        <v>0</v>
      </c>
      <c r="K32" s="34">
        <v>0</v>
      </c>
      <c r="L32" s="36">
        <v>1.85</v>
      </c>
      <c r="M32" s="36">
        <v>13.89</v>
      </c>
      <c r="N32" s="36">
        <v>32.08</v>
      </c>
      <c r="O32" s="105" t="s">
        <v>170</v>
      </c>
      <c r="P32" s="91">
        <v>27</v>
      </c>
      <c r="Q32" s="5" t="s">
        <v>35</v>
      </c>
      <c r="R32" s="34">
        <v>0</v>
      </c>
      <c r="S32" s="34">
        <v>4129.2470000000003</v>
      </c>
      <c r="T32" s="34">
        <v>925.22900000000004</v>
      </c>
      <c r="U32" s="36">
        <v>5923.0610000000006</v>
      </c>
      <c r="V32" s="36">
        <v>1711.55</v>
      </c>
      <c r="W32" s="36">
        <v>300390.22699999996</v>
      </c>
      <c r="X32" s="34">
        <v>0</v>
      </c>
      <c r="Y32" s="34">
        <v>640.779</v>
      </c>
      <c r="Z32" s="34">
        <v>11.442</v>
      </c>
      <c r="AA32" s="36">
        <v>87.681000000000012</v>
      </c>
      <c r="AB32" s="36">
        <v>72.364999999999995</v>
      </c>
      <c r="AC32" s="36">
        <v>353.73750000000001</v>
      </c>
      <c r="AD32" s="105" t="s">
        <v>171</v>
      </c>
      <c r="AE32" s="1157">
        <v>27</v>
      </c>
      <c r="AF32" s="5" t="s">
        <v>171</v>
      </c>
      <c r="AG32" s="266">
        <v>0</v>
      </c>
      <c r="AH32" s="36">
        <v>3925.2259999999997</v>
      </c>
      <c r="AI32" s="36">
        <v>904.15</v>
      </c>
      <c r="AJ32" s="36">
        <v>4419.8770000000004</v>
      </c>
      <c r="AK32" s="36">
        <v>1223.8129999999999</v>
      </c>
      <c r="AL32" s="36">
        <v>276722.32299999997</v>
      </c>
      <c r="AM32" s="36">
        <v>0</v>
      </c>
      <c r="AN32" s="36">
        <v>588.78300000000002</v>
      </c>
      <c r="AO32" s="36">
        <v>10.223000000000001</v>
      </c>
      <c r="AP32" s="36">
        <v>64.486999999999995</v>
      </c>
      <c r="AQ32" s="36">
        <v>48.140999999999991</v>
      </c>
      <c r="AR32" s="36">
        <v>325.91149999999999</v>
      </c>
      <c r="AS32" s="630" t="s">
        <v>35</v>
      </c>
    </row>
    <row r="33" spans="1:47" ht="24.95" customHeight="1">
      <c r="A33" s="91">
        <v>28</v>
      </c>
      <c r="B33" s="5" t="s">
        <v>35</v>
      </c>
      <c r="C33" s="34">
        <v>0</v>
      </c>
      <c r="D33" s="35">
        <v>4550.43</v>
      </c>
      <c r="E33" s="36">
        <v>1124.27</v>
      </c>
      <c r="F33" s="36">
        <v>4548.59</v>
      </c>
      <c r="G33" s="36">
        <v>1438.61</v>
      </c>
      <c r="H33" s="36">
        <v>306164.68</v>
      </c>
      <c r="I33" s="34">
        <v>0</v>
      </c>
      <c r="J33" s="35">
        <v>688.86</v>
      </c>
      <c r="K33" s="36">
        <v>18.78</v>
      </c>
      <c r="L33" s="36">
        <v>86.7</v>
      </c>
      <c r="M33" s="36">
        <v>73.290000000000006</v>
      </c>
      <c r="N33" s="36">
        <v>359.44</v>
      </c>
      <c r="O33" s="105" t="s">
        <v>171</v>
      </c>
      <c r="P33" s="91">
        <v>28</v>
      </c>
      <c r="Q33" s="5" t="s">
        <v>36</v>
      </c>
      <c r="R33" s="34">
        <v>0</v>
      </c>
      <c r="S33" s="35">
        <v>6.6</v>
      </c>
      <c r="T33" s="36">
        <v>133.05662802197801</v>
      </c>
      <c r="U33" s="36">
        <v>628.05828351648347</v>
      </c>
      <c r="V33" s="36">
        <v>64.373604761904758</v>
      </c>
      <c r="W33" s="36">
        <v>8205.9885360805856</v>
      </c>
      <c r="X33" s="34">
        <v>0</v>
      </c>
      <c r="Y33" s="35">
        <v>0.82352756500000002</v>
      </c>
      <c r="Z33" s="36">
        <v>2.0451180920450547</v>
      </c>
      <c r="AA33" s="36">
        <v>9.5767497084082436</v>
      </c>
      <c r="AB33" s="36">
        <v>3.022391733919048</v>
      </c>
      <c r="AC33" s="36">
        <v>9.7926222244589738</v>
      </c>
      <c r="AD33" s="105" t="s">
        <v>172</v>
      </c>
      <c r="AE33" s="1157">
        <v>28</v>
      </c>
      <c r="AF33" s="5" t="s">
        <v>172</v>
      </c>
      <c r="AG33" s="266">
        <v>0</v>
      </c>
      <c r="AH33" s="36">
        <v>6.0690000000000008</v>
      </c>
      <c r="AI33" s="36">
        <v>102.8107239010989</v>
      </c>
      <c r="AJ33" s="36">
        <v>336.38084340659339</v>
      </c>
      <c r="AK33" s="36">
        <v>38.785409615384616</v>
      </c>
      <c r="AL33" s="36">
        <v>7787.5571353479863</v>
      </c>
      <c r="AM33" s="36">
        <v>0</v>
      </c>
      <c r="AN33" s="36">
        <v>0.75299037599999996</v>
      </c>
      <c r="AO33" s="36">
        <v>1.4092472394062274</v>
      </c>
      <c r="AP33" s="36">
        <v>5.0906653334804037</v>
      </c>
      <c r="AQ33" s="36">
        <v>1.821237242343773</v>
      </c>
      <c r="AR33" s="36">
        <v>9.5087123353397089</v>
      </c>
      <c r="AS33" s="630" t="s">
        <v>36</v>
      </c>
    </row>
    <row r="34" spans="1:47" ht="24.95" customHeight="1">
      <c r="A34" s="91">
        <v>29</v>
      </c>
      <c r="B34" s="5" t="s">
        <v>36</v>
      </c>
      <c r="C34" s="34">
        <v>0</v>
      </c>
      <c r="D34" s="35">
        <v>24.42</v>
      </c>
      <c r="E34" s="36">
        <v>150.82</v>
      </c>
      <c r="F34" s="36">
        <v>720.04</v>
      </c>
      <c r="G34" s="36">
        <v>70.290000000000006</v>
      </c>
      <c r="H34" s="36">
        <v>8101.15</v>
      </c>
      <c r="I34" s="34">
        <v>0</v>
      </c>
      <c r="J34" s="35">
        <v>3.03</v>
      </c>
      <c r="K34" s="36">
        <v>2.3199999999999998</v>
      </c>
      <c r="L34" s="36">
        <v>11.02</v>
      </c>
      <c r="M34" s="36">
        <v>3.31</v>
      </c>
      <c r="N34" s="36">
        <v>9.5</v>
      </c>
      <c r="O34" s="105" t="s">
        <v>172</v>
      </c>
      <c r="P34" s="91">
        <v>29</v>
      </c>
      <c r="Q34" s="5" t="s">
        <v>37</v>
      </c>
      <c r="R34" s="34">
        <v>136.18938</v>
      </c>
      <c r="S34" s="35">
        <v>112.27944000000001</v>
      </c>
      <c r="T34" s="36">
        <v>2363.5235000000002</v>
      </c>
      <c r="U34" s="36">
        <v>31827.741500000004</v>
      </c>
      <c r="V34" s="36">
        <v>1160.4680000000001</v>
      </c>
      <c r="W34" s="36">
        <v>226208.3455</v>
      </c>
      <c r="X34" s="34">
        <v>17.095869017331665</v>
      </c>
      <c r="Y34" s="35">
        <v>15.000748662321467</v>
      </c>
      <c r="Z34" s="36">
        <v>22.001887427884263</v>
      </c>
      <c r="AA34" s="36">
        <v>290.67772176504519</v>
      </c>
      <c r="AB34" s="36">
        <v>36.420193030829495</v>
      </c>
      <c r="AC34" s="36">
        <v>521.66274541616895</v>
      </c>
      <c r="AD34" s="105" t="s">
        <v>173</v>
      </c>
      <c r="AE34" s="1157">
        <v>29</v>
      </c>
      <c r="AF34" s="5" t="s">
        <v>173</v>
      </c>
      <c r="AG34" s="266">
        <v>142.03763000000001</v>
      </c>
      <c r="AH34" s="36">
        <v>116.46874</v>
      </c>
      <c r="AI34" s="36">
        <v>2482.09375</v>
      </c>
      <c r="AJ34" s="36">
        <v>33185.3079</v>
      </c>
      <c r="AK34" s="36">
        <v>1234.4499499999999</v>
      </c>
      <c r="AL34" s="36">
        <v>245330.91475</v>
      </c>
      <c r="AM34" s="36">
        <v>17.879866219937202</v>
      </c>
      <c r="AN34" s="36">
        <v>15.605412862644645</v>
      </c>
      <c r="AO34" s="36">
        <v>23.690536723025652</v>
      </c>
      <c r="AP34" s="36">
        <v>316.28636448827802</v>
      </c>
      <c r="AQ34" s="36">
        <v>39.212853469341688</v>
      </c>
      <c r="AR34" s="36">
        <v>581.34039665740715</v>
      </c>
      <c r="AS34" s="630" t="s">
        <v>37</v>
      </c>
    </row>
    <row r="35" spans="1:47" ht="24.95" customHeight="1">
      <c r="A35" s="91">
        <v>30</v>
      </c>
      <c r="B35" s="5" t="s">
        <v>37</v>
      </c>
      <c r="C35" s="36">
        <v>131.41999999999999</v>
      </c>
      <c r="D35" s="35">
        <v>108.47</v>
      </c>
      <c r="E35" s="36">
        <v>2228.58</v>
      </c>
      <c r="F35" s="36">
        <v>30342.63</v>
      </c>
      <c r="G35" s="36">
        <v>1096.05</v>
      </c>
      <c r="H35" s="36">
        <v>210395.05</v>
      </c>
      <c r="I35" s="36">
        <v>16.399999999999999</v>
      </c>
      <c r="J35" s="35">
        <v>14.46</v>
      </c>
      <c r="K35" s="36">
        <v>20.56</v>
      </c>
      <c r="L35" s="36">
        <v>270.08999999999997</v>
      </c>
      <c r="M35" s="36">
        <v>34.35</v>
      </c>
      <c r="N35" s="36">
        <v>475.42</v>
      </c>
      <c r="O35" s="105" t="s">
        <v>173</v>
      </c>
      <c r="P35" s="91">
        <v>30</v>
      </c>
      <c r="Q35" s="5" t="s">
        <v>620</v>
      </c>
      <c r="R35" s="36">
        <v>0.52408333333333323</v>
      </c>
      <c r="S35" s="35">
        <v>0.32737499999999997</v>
      </c>
      <c r="T35" s="36">
        <v>0</v>
      </c>
      <c r="U35" s="36">
        <v>10.880750000000001</v>
      </c>
      <c r="V35" s="36">
        <v>10.953625000000001</v>
      </c>
      <c r="W35" s="36">
        <v>2799.228125000001</v>
      </c>
      <c r="X35" s="36">
        <v>0.11791874999999999</v>
      </c>
      <c r="Y35" s="35">
        <v>8.1843749999999993E-2</v>
      </c>
      <c r="Z35" s="36">
        <v>0</v>
      </c>
      <c r="AA35" s="36">
        <v>0.14725725625000002</v>
      </c>
      <c r="AB35" s="36">
        <v>0.60696539999999999</v>
      </c>
      <c r="AC35" s="36">
        <v>4.6728409062499994</v>
      </c>
      <c r="AD35" s="193" t="s">
        <v>621</v>
      </c>
      <c r="AE35" s="1157">
        <v>30</v>
      </c>
      <c r="AF35" s="25" t="s">
        <v>621</v>
      </c>
      <c r="AG35" s="266">
        <v>5.6000000000000001E-2</v>
      </c>
      <c r="AH35" s="36">
        <v>0.02</v>
      </c>
      <c r="AI35" s="36">
        <v>0</v>
      </c>
      <c r="AJ35" s="36">
        <v>0.52300000000000002</v>
      </c>
      <c r="AK35" s="36">
        <v>0.57800000000000007</v>
      </c>
      <c r="AL35" s="36">
        <v>679.17</v>
      </c>
      <c r="AM35" s="36">
        <v>0.24880000000000002</v>
      </c>
      <c r="AN35" s="36">
        <v>9.7219999999999987E-2</v>
      </c>
      <c r="AO35" s="36">
        <v>0</v>
      </c>
      <c r="AP35" s="36">
        <v>0.13850999999999997</v>
      </c>
      <c r="AQ35" s="36">
        <v>0.64538000000000006</v>
      </c>
      <c r="AR35" s="36">
        <v>4.5170599999999999</v>
      </c>
      <c r="AS35" s="630" t="s">
        <v>620</v>
      </c>
    </row>
    <row r="36" spans="1:47" ht="24.95" customHeight="1">
      <c r="A36" s="92">
        <v>31</v>
      </c>
      <c r="B36" s="12" t="s">
        <v>121</v>
      </c>
      <c r="C36" s="35">
        <v>0.52</v>
      </c>
      <c r="D36" s="35">
        <v>0.23</v>
      </c>
      <c r="E36" s="37">
        <v>0</v>
      </c>
      <c r="F36" s="35">
        <v>10.08</v>
      </c>
      <c r="G36" s="35">
        <v>10.19</v>
      </c>
      <c r="H36" s="35">
        <v>2726.67</v>
      </c>
      <c r="I36" s="35">
        <v>0.12</v>
      </c>
      <c r="J36" s="35">
        <v>0.06</v>
      </c>
      <c r="K36" s="37">
        <v>0</v>
      </c>
      <c r="L36" s="35">
        <v>0.14000000000000001</v>
      </c>
      <c r="M36" s="35">
        <v>0.56000000000000005</v>
      </c>
      <c r="N36" s="35">
        <v>4.55</v>
      </c>
      <c r="O36" s="106" t="s">
        <v>174</v>
      </c>
      <c r="P36" s="92">
        <v>31</v>
      </c>
      <c r="Q36" s="12" t="s">
        <v>38</v>
      </c>
      <c r="R36" s="35">
        <v>0</v>
      </c>
      <c r="S36" s="35">
        <v>0</v>
      </c>
      <c r="T36" s="37">
        <v>23.995000000000001</v>
      </c>
      <c r="U36" s="35">
        <v>27.484999999999999</v>
      </c>
      <c r="V36" s="35">
        <v>4.3719999999999999</v>
      </c>
      <c r="W36" s="35">
        <v>57.08</v>
      </c>
      <c r="X36" s="35">
        <v>0</v>
      </c>
      <c r="Y36" s="35">
        <v>0</v>
      </c>
      <c r="Z36" s="37">
        <v>0.23995000000000002</v>
      </c>
      <c r="AA36" s="35">
        <v>0.27485000000000004</v>
      </c>
      <c r="AB36" s="35">
        <v>0.19673999999999994</v>
      </c>
      <c r="AC36" s="35">
        <v>8.4612500000000007E-2</v>
      </c>
      <c r="AD36" s="105" t="s">
        <v>175</v>
      </c>
      <c r="AE36" s="220">
        <v>31</v>
      </c>
      <c r="AF36" s="5" t="s">
        <v>175</v>
      </c>
      <c r="AG36" s="266">
        <v>0</v>
      </c>
      <c r="AH36" s="36">
        <v>0</v>
      </c>
      <c r="AI36" s="36">
        <v>12.901</v>
      </c>
      <c r="AJ36" s="36">
        <v>23.143000000000001</v>
      </c>
      <c r="AK36" s="36">
        <v>4.0910000000000002</v>
      </c>
      <c r="AL36" s="36">
        <v>56.8</v>
      </c>
      <c r="AM36" s="36">
        <v>0</v>
      </c>
      <c r="AN36" s="36">
        <v>0</v>
      </c>
      <c r="AO36" s="36">
        <v>0.14525199999999999</v>
      </c>
      <c r="AP36" s="36">
        <v>0.25501799999999997</v>
      </c>
      <c r="AQ36" s="36">
        <v>0.17179499999999998</v>
      </c>
      <c r="AR36" s="36">
        <v>8.5925000000000015E-2</v>
      </c>
      <c r="AS36" s="862" t="s">
        <v>38</v>
      </c>
    </row>
    <row r="37" spans="1:47" ht="24.95" customHeight="1">
      <c r="A37" s="91">
        <v>32</v>
      </c>
      <c r="B37" s="5" t="s">
        <v>38</v>
      </c>
      <c r="C37" s="34">
        <v>0</v>
      </c>
      <c r="D37" s="34">
        <v>0</v>
      </c>
      <c r="E37" s="36">
        <v>26.81</v>
      </c>
      <c r="F37" s="36">
        <v>36.68</v>
      </c>
      <c r="G37" s="36">
        <v>5.16</v>
      </c>
      <c r="H37" s="34">
        <v>54.89</v>
      </c>
      <c r="I37" s="34">
        <v>0</v>
      </c>
      <c r="J37" s="34">
        <v>0</v>
      </c>
      <c r="K37" s="36">
        <v>0.27</v>
      </c>
      <c r="L37" s="36">
        <v>0.37</v>
      </c>
      <c r="M37" s="36">
        <v>0.23</v>
      </c>
      <c r="N37" s="36">
        <v>0.08</v>
      </c>
      <c r="O37" s="105" t="s">
        <v>175</v>
      </c>
      <c r="P37" s="91">
        <v>32</v>
      </c>
      <c r="Q37" s="5" t="s">
        <v>622</v>
      </c>
      <c r="R37" s="34" t="s">
        <v>47</v>
      </c>
      <c r="S37" s="34" t="s">
        <v>47</v>
      </c>
      <c r="T37" s="36" t="s">
        <v>47</v>
      </c>
      <c r="U37" s="36" t="s">
        <v>47</v>
      </c>
      <c r="V37" s="36" t="s">
        <v>47</v>
      </c>
      <c r="W37" s="34" t="s">
        <v>47</v>
      </c>
      <c r="X37" s="34" t="s">
        <v>47</v>
      </c>
      <c r="Y37" s="34" t="s">
        <v>47</v>
      </c>
      <c r="Z37" s="36" t="s">
        <v>47</v>
      </c>
      <c r="AA37" s="36" t="s">
        <v>47</v>
      </c>
      <c r="AB37" s="36" t="s">
        <v>47</v>
      </c>
      <c r="AC37" s="36" t="s">
        <v>47</v>
      </c>
      <c r="AD37" s="105" t="s">
        <v>176</v>
      </c>
      <c r="AE37" s="220">
        <v>32</v>
      </c>
      <c r="AF37" s="5" t="s">
        <v>654</v>
      </c>
      <c r="AG37" s="266">
        <v>0</v>
      </c>
      <c r="AH37" s="36">
        <v>0</v>
      </c>
      <c r="AI37" s="36">
        <v>1203.5</v>
      </c>
      <c r="AJ37" s="36">
        <v>212.5</v>
      </c>
      <c r="AK37" s="36">
        <v>0</v>
      </c>
      <c r="AL37" s="36">
        <v>1085</v>
      </c>
      <c r="AM37" s="36">
        <v>0</v>
      </c>
      <c r="AN37" s="36">
        <v>0</v>
      </c>
      <c r="AO37" s="36">
        <v>1.4800000000000001E-2</v>
      </c>
      <c r="AP37" s="36">
        <v>2.4500000000000004E-3</v>
      </c>
      <c r="AQ37" s="36">
        <v>0</v>
      </c>
      <c r="AR37" s="36">
        <v>1.2000000000000001E-3</v>
      </c>
      <c r="AS37" s="862" t="s">
        <v>649</v>
      </c>
    </row>
    <row r="38" spans="1:47" ht="24.95" customHeight="1">
      <c r="A38" s="91">
        <v>33</v>
      </c>
      <c r="B38" s="5" t="s">
        <v>107</v>
      </c>
      <c r="C38" s="36" t="s">
        <v>275</v>
      </c>
      <c r="D38" s="35" t="s">
        <v>275</v>
      </c>
      <c r="E38" s="36" t="s">
        <v>275</v>
      </c>
      <c r="F38" s="36" t="s">
        <v>275</v>
      </c>
      <c r="G38" s="36">
        <v>0</v>
      </c>
      <c r="H38" s="36">
        <v>0</v>
      </c>
      <c r="I38" s="36">
        <v>0</v>
      </c>
      <c r="J38" s="35">
        <v>0</v>
      </c>
      <c r="K38" s="36">
        <v>0</v>
      </c>
      <c r="L38" s="36">
        <v>0</v>
      </c>
      <c r="M38" s="36">
        <v>0</v>
      </c>
      <c r="N38" s="34">
        <v>0</v>
      </c>
      <c r="O38" s="105" t="s">
        <v>176</v>
      </c>
      <c r="P38" s="91">
        <v>33</v>
      </c>
      <c r="Q38" s="5" t="s">
        <v>4</v>
      </c>
      <c r="R38" s="36">
        <v>0</v>
      </c>
      <c r="S38" s="35">
        <v>0</v>
      </c>
      <c r="T38" s="36">
        <v>0</v>
      </c>
      <c r="U38" s="36">
        <v>26.592749999999999</v>
      </c>
      <c r="V38" s="36">
        <v>0</v>
      </c>
      <c r="W38" s="36">
        <v>0</v>
      </c>
      <c r="X38" s="36">
        <v>0</v>
      </c>
      <c r="Y38" s="35">
        <v>0</v>
      </c>
      <c r="Z38" s="36">
        <v>0</v>
      </c>
      <c r="AA38" s="36">
        <v>0.21565495940000001</v>
      </c>
      <c r="AB38" s="36">
        <v>0</v>
      </c>
      <c r="AC38" s="34">
        <v>0</v>
      </c>
      <c r="AD38" s="105" t="s">
        <v>623</v>
      </c>
      <c r="AE38" s="1157">
        <v>33</v>
      </c>
      <c r="AF38" s="5" t="s">
        <v>176</v>
      </c>
      <c r="AG38" s="266">
        <v>0</v>
      </c>
      <c r="AH38" s="36">
        <v>0</v>
      </c>
      <c r="AI38" s="36">
        <v>0</v>
      </c>
      <c r="AJ38" s="36">
        <v>26.22925</v>
      </c>
      <c r="AK38" s="36">
        <v>0</v>
      </c>
      <c r="AL38" s="36">
        <v>0</v>
      </c>
      <c r="AM38" s="36">
        <v>0</v>
      </c>
      <c r="AN38" s="36">
        <v>0</v>
      </c>
      <c r="AO38" s="36">
        <v>0</v>
      </c>
      <c r="AP38" s="36">
        <v>0.30933427399999991</v>
      </c>
      <c r="AQ38" s="36">
        <v>0</v>
      </c>
      <c r="AR38" s="36">
        <v>0</v>
      </c>
      <c r="AS38" s="630" t="s">
        <v>622</v>
      </c>
    </row>
    <row r="39" spans="1:47" ht="24.95" customHeight="1">
      <c r="A39" s="91">
        <v>34</v>
      </c>
      <c r="B39" s="5" t="s">
        <v>4</v>
      </c>
      <c r="C39" s="36">
        <v>0</v>
      </c>
      <c r="D39" s="34">
        <v>0</v>
      </c>
      <c r="E39" s="36">
        <v>0</v>
      </c>
      <c r="F39" s="34">
        <v>15.87</v>
      </c>
      <c r="G39" s="34">
        <v>0</v>
      </c>
      <c r="H39" s="34">
        <v>0</v>
      </c>
      <c r="I39" s="36">
        <v>0</v>
      </c>
      <c r="J39" s="34">
        <v>0</v>
      </c>
      <c r="K39" s="36">
        <v>0</v>
      </c>
      <c r="L39" s="34">
        <v>0.18</v>
      </c>
      <c r="M39" s="34">
        <v>0</v>
      </c>
      <c r="N39" s="34">
        <v>0</v>
      </c>
      <c r="O39" s="105" t="s">
        <v>177</v>
      </c>
      <c r="P39" s="91">
        <v>34</v>
      </c>
      <c r="Q39" s="5" t="s">
        <v>24</v>
      </c>
      <c r="R39" s="36" t="s">
        <v>47</v>
      </c>
      <c r="S39" s="34" t="s">
        <v>47</v>
      </c>
      <c r="T39" s="36" t="s">
        <v>47</v>
      </c>
      <c r="U39" s="34" t="s">
        <v>47</v>
      </c>
      <c r="V39" s="34" t="s">
        <v>47</v>
      </c>
      <c r="W39" s="34" t="s">
        <v>47</v>
      </c>
      <c r="X39" s="36" t="s">
        <v>47</v>
      </c>
      <c r="Y39" s="34" t="s">
        <v>47</v>
      </c>
      <c r="Z39" s="36" t="s">
        <v>47</v>
      </c>
      <c r="AA39" s="34" t="s">
        <v>47</v>
      </c>
      <c r="AB39" s="34" t="s">
        <v>47</v>
      </c>
      <c r="AC39" s="34" t="s">
        <v>47</v>
      </c>
      <c r="AD39" s="105" t="s">
        <v>149</v>
      </c>
      <c r="AE39" s="1157">
        <v>34</v>
      </c>
      <c r="AF39" s="5" t="s">
        <v>623</v>
      </c>
      <c r="AG39" s="266" t="s">
        <v>47</v>
      </c>
      <c r="AH39" s="36" t="s">
        <v>47</v>
      </c>
      <c r="AI39" s="36" t="s">
        <v>47</v>
      </c>
      <c r="AJ39" s="36" t="s">
        <v>47</v>
      </c>
      <c r="AK39" s="36" t="s">
        <v>47</v>
      </c>
      <c r="AL39" s="36" t="s">
        <v>47</v>
      </c>
      <c r="AM39" s="36" t="s">
        <v>47</v>
      </c>
      <c r="AN39" s="36" t="s">
        <v>47</v>
      </c>
      <c r="AO39" s="36" t="s">
        <v>47</v>
      </c>
      <c r="AP39" s="36" t="s">
        <v>47</v>
      </c>
      <c r="AQ39" s="36" t="s">
        <v>47</v>
      </c>
      <c r="AR39" s="36" t="s">
        <v>47</v>
      </c>
      <c r="AS39" s="630" t="s">
        <v>4</v>
      </c>
    </row>
    <row r="40" spans="1:47" ht="24.95" customHeight="1">
      <c r="A40" s="91">
        <v>35</v>
      </c>
      <c r="B40" s="5" t="s">
        <v>7</v>
      </c>
      <c r="C40" s="36">
        <v>0.56999999999999995</v>
      </c>
      <c r="D40" s="34">
        <v>0</v>
      </c>
      <c r="E40" s="34">
        <v>0</v>
      </c>
      <c r="F40" s="36">
        <v>10.3</v>
      </c>
      <c r="G40" s="34">
        <v>0</v>
      </c>
      <c r="H40" s="36">
        <v>226.09</v>
      </c>
      <c r="I40" s="36">
        <v>0.03</v>
      </c>
      <c r="J40" s="34">
        <v>0</v>
      </c>
      <c r="K40" s="34">
        <v>0</v>
      </c>
      <c r="L40" s="36">
        <v>0.05</v>
      </c>
      <c r="M40" s="34">
        <v>0</v>
      </c>
      <c r="N40" s="36">
        <v>0.34</v>
      </c>
      <c r="O40" s="105" t="s">
        <v>178</v>
      </c>
      <c r="P40" s="91">
        <v>35</v>
      </c>
      <c r="Q40" s="5" t="s">
        <v>7</v>
      </c>
      <c r="R40" s="36">
        <v>0.496</v>
      </c>
      <c r="S40" s="34">
        <v>4.0000000000000001E-3</v>
      </c>
      <c r="T40" s="34">
        <v>0</v>
      </c>
      <c r="U40" s="36">
        <v>7.0049999999999999</v>
      </c>
      <c r="V40" s="34">
        <v>0</v>
      </c>
      <c r="W40" s="36">
        <v>230.31200000000001</v>
      </c>
      <c r="X40" s="36">
        <v>4.446E-2</v>
      </c>
      <c r="Y40" s="34">
        <v>4.0000000000000002E-4</v>
      </c>
      <c r="Z40" s="34">
        <v>0</v>
      </c>
      <c r="AA40" s="36">
        <v>3.5025000000000001E-2</v>
      </c>
      <c r="AB40" s="34">
        <v>0</v>
      </c>
      <c r="AC40" s="36">
        <v>0.345468</v>
      </c>
      <c r="AD40" s="105" t="s">
        <v>178</v>
      </c>
      <c r="AE40" s="1157">
        <v>35</v>
      </c>
      <c r="AF40" s="5" t="s">
        <v>149</v>
      </c>
      <c r="AG40" s="266" t="s">
        <v>47</v>
      </c>
      <c r="AH40" s="36" t="s">
        <v>47</v>
      </c>
      <c r="AI40" s="36" t="s">
        <v>47</v>
      </c>
      <c r="AJ40" s="36" t="s">
        <v>47</v>
      </c>
      <c r="AK40" s="36" t="s">
        <v>47</v>
      </c>
      <c r="AL40" s="36" t="s">
        <v>47</v>
      </c>
      <c r="AM40" s="36" t="s">
        <v>47</v>
      </c>
      <c r="AN40" s="36" t="s">
        <v>47</v>
      </c>
      <c r="AO40" s="36" t="s">
        <v>47</v>
      </c>
      <c r="AP40" s="36" t="s">
        <v>47</v>
      </c>
      <c r="AQ40" s="36" t="s">
        <v>47</v>
      </c>
      <c r="AR40" s="36" t="s">
        <v>47</v>
      </c>
      <c r="AS40" s="630" t="s">
        <v>24</v>
      </c>
    </row>
    <row r="41" spans="1:47" ht="24.95" customHeight="1">
      <c r="A41" s="91">
        <v>36</v>
      </c>
      <c r="B41" s="5" t="s">
        <v>10</v>
      </c>
      <c r="C41" s="36">
        <v>14.44</v>
      </c>
      <c r="D41" s="35">
        <v>0.95</v>
      </c>
      <c r="E41" s="36">
        <v>101.19</v>
      </c>
      <c r="F41" s="36">
        <v>621.1</v>
      </c>
      <c r="G41" s="36">
        <v>0.65</v>
      </c>
      <c r="H41" s="36">
        <v>5140.51</v>
      </c>
      <c r="I41" s="36">
        <v>1.1499999999999999</v>
      </c>
      <c r="J41" s="35">
        <v>0.09</v>
      </c>
      <c r="K41" s="36">
        <v>1.02</v>
      </c>
      <c r="L41" s="36">
        <v>4.9800000000000004</v>
      </c>
      <c r="M41" s="36">
        <v>0.02</v>
      </c>
      <c r="N41" s="36">
        <v>7.37</v>
      </c>
      <c r="O41" s="105" t="s">
        <v>179</v>
      </c>
      <c r="P41" s="91">
        <v>36</v>
      </c>
      <c r="Q41" s="5" t="s">
        <v>10</v>
      </c>
      <c r="R41" s="36">
        <v>14.337999999999999</v>
      </c>
      <c r="S41" s="35">
        <v>0.88900000000000001</v>
      </c>
      <c r="T41" s="36">
        <v>102.816</v>
      </c>
      <c r="U41" s="36">
        <v>635.48400000000004</v>
      </c>
      <c r="V41" s="36">
        <v>0.6399999999999999</v>
      </c>
      <c r="W41" s="36">
        <v>5153.5030000000006</v>
      </c>
      <c r="X41" s="36">
        <v>1.1360000000000001</v>
      </c>
      <c r="Y41" s="35">
        <v>7.9999999999999988E-2</v>
      </c>
      <c r="Z41" s="36">
        <v>1.014</v>
      </c>
      <c r="AA41" s="36">
        <v>4.9970000000000008</v>
      </c>
      <c r="AB41" s="36">
        <v>1.9E-2</v>
      </c>
      <c r="AC41" s="36">
        <v>7.3913945000000005</v>
      </c>
      <c r="AD41" s="105" t="s">
        <v>179</v>
      </c>
      <c r="AE41" s="1157">
        <v>36</v>
      </c>
      <c r="AF41" s="5" t="s">
        <v>178</v>
      </c>
      <c r="AG41" s="266">
        <v>1.02</v>
      </c>
      <c r="AH41" s="36">
        <v>0</v>
      </c>
      <c r="AI41" s="36">
        <v>0</v>
      </c>
      <c r="AJ41" s="36">
        <v>8.34</v>
      </c>
      <c r="AK41" s="36">
        <v>0</v>
      </c>
      <c r="AL41" s="36">
        <v>284.52499999999998</v>
      </c>
      <c r="AM41" s="36">
        <v>8.2700000000000023E-2</v>
      </c>
      <c r="AN41" s="36">
        <v>0</v>
      </c>
      <c r="AO41" s="36">
        <v>0</v>
      </c>
      <c r="AP41" s="36">
        <v>4.1700000000000001E-2</v>
      </c>
      <c r="AQ41" s="36">
        <v>0</v>
      </c>
      <c r="AR41" s="36">
        <v>0.42678750000000004</v>
      </c>
      <c r="AS41" s="630" t="s">
        <v>7</v>
      </c>
    </row>
    <row r="42" spans="1:47" ht="23.25" customHeight="1">
      <c r="A42" s="2414" t="s">
        <v>0</v>
      </c>
      <c r="B42" s="2414"/>
      <c r="C42" s="38">
        <f>SUM(C6:C41)</f>
        <v>3055.83</v>
      </c>
      <c r="D42" s="38">
        <f>SUM(D6:D41)</f>
        <v>11926.29</v>
      </c>
      <c r="E42" s="38">
        <f t="shared" ref="E42:N42" si="0">SUM(E6:E41)</f>
        <v>50863.58</v>
      </c>
      <c r="F42" s="38">
        <f t="shared" si="0"/>
        <v>97190.24</v>
      </c>
      <c r="G42" s="38">
        <f>SUM(G6:G41)</f>
        <v>10734.87</v>
      </c>
      <c r="H42" s="38">
        <f t="shared" si="0"/>
        <v>2812839.13</v>
      </c>
      <c r="I42" s="38">
        <f t="shared" si="0"/>
        <v>326.47999999999996</v>
      </c>
      <c r="J42" s="38">
        <f t="shared" si="0"/>
        <v>1545.8200000000002</v>
      </c>
      <c r="K42" s="38">
        <f>SUM(K6:K41)</f>
        <v>677.97</v>
      </c>
      <c r="L42" s="38">
        <f t="shared" si="0"/>
        <v>1097.9100000000001</v>
      </c>
      <c r="M42" s="38">
        <f t="shared" si="0"/>
        <v>404.48000000000008</v>
      </c>
      <c r="N42" s="38">
        <f t="shared" si="0"/>
        <v>4061.78</v>
      </c>
      <c r="O42" s="107" t="s">
        <v>180</v>
      </c>
      <c r="P42" s="2415" t="s">
        <v>0</v>
      </c>
      <c r="Q42" s="2416"/>
      <c r="R42" s="39">
        <v>3017.7324704923967</v>
      </c>
      <c r="S42" s="39">
        <v>12181.012674961537</v>
      </c>
      <c r="T42" s="39">
        <v>56515.436082397689</v>
      </c>
      <c r="U42" s="39">
        <v>103605.23285100664</v>
      </c>
      <c r="V42" s="39">
        <v>11225.681595108352</v>
      </c>
      <c r="W42" s="39">
        <v>2820834.5615861085</v>
      </c>
      <c r="X42" s="39">
        <v>308.78293455330243</v>
      </c>
      <c r="Y42" s="39">
        <v>1584.6481310012637</v>
      </c>
      <c r="Z42" s="39">
        <v>769.21305621842407</v>
      </c>
      <c r="AA42" s="39">
        <v>1179.4867874083307</v>
      </c>
      <c r="AB42" s="39">
        <v>414.14220398649019</v>
      </c>
      <c r="AC42" s="39">
        <v>4343.1265464605913</v>
      </c>
      <c r="AD42" s="219" t="s">
        <v>180</v>
      </c>
      <c r="AE42" s="1157">
        <v>37</v>
      </c>
      <c r="AF42" s="5" t="s">
        <v>179</v>
      </c>
      <c r="AG42" s="266">
        <v>14.337999999999999</v>
      </c>
      <c r="AH42" s="36">
        <v>0.88900000000000001</v>
      </c>
      <c r="AI42" s="36">
        <v>102.816</v>
      </c>
      <c r="AJ42" s="36">
        <v>635.48400000000004</v>
      </c>
      <c r="AK42" s="36">
        <v>0.6399999999999999</v>
      </c>
      <c r="AL42" s="36">
        <v>5153.5030000000006</v>
      </c>
      <c r="AM42" s="36">
        <v>1.1360000000000001</v>
      </c>
      <c r="AN42" s="36">
        <v>7.9999999999999988E-2</v>
      </c>
      <c r="AO42" s="36">
        <v>1.014</v>
      </c>
      <c r="AP42" s="36">
        <v>4.9970000000000008</v>
      </c>
      <c r="AQ42" s="36">
        <v>1.9E-2</v>
      </c>
      <c r="AR42" s="36">
        <v>7.3913945000000005</v>
      </c>
      <c r="AS42" s="630" t="s">
        <v>10</v>
      </c>
    </row>
    <row r="43" spans="1:47" ht="20.45" customHeight="1">
      <c r="A43" s="51"/>
      <c r="B43" s="51"/>
      <c r="C43" s="52"/>
      <c r="D43" s="52"/>
      <c r="E43" s="52"/>
      <c r="F43" s="52"/>
      <c r="G43" s="52"/>
      <c r="H43" s="52"/>
      <c r="I43" s="52"/>
      <c r="J43" s="52"/>
      <c r="K43" s="52"/>
      <c r="L43" s="52"/>
      <c r="M43" s="52"/>
      <c r="N43" s="52"/>
      <c r="O43" s="33"/>
      <c r="P43" s="51"/>
      <c r="Q43" s="51"/>
      <c r="R43" s="52"/>
      <c r="S43" s="52"/>
      <c r="T43" s="52"/>
      <c r="U43" s="52"/>
      <c r="V43" s="52"/>
      <c r="W43" s="52"/>
      <c r="X43" s="52"/>
      <c r="Y43" s="52"/>
      <c r="Z43" s="52"/>
      <c r="AA43" s="52"/>
      <c r="AB43" s="52"/>
      <c r="AC43" s="52"/>
      <c r="AD43" s="33"/>
      <c r="AE43" s="2407" t="s">
        <v>143</v>
      </c>
      <c r="AF43" s="2408"/>
      <c r="AG43" s="39">
        <v>2868.4119740233245</v>
      </c>
      <c r="AH43" s="39">
        <v>12850.288580872973</v>
      </c>
      <c r="AI43" s="39">
        <v>65469.219508743874</v>
      </c>
      <c r="AJ43" s="39">
        <v>106824.50817269643</v>
      </c>
      <c r="AK43" s="39">
        <v>9271.5730186616311</v>
      </c>
      <c r="AL43" s="39">
        <v>2904156.8358457508</v>
      </c>
      <c r="AM43" s="39">
        <v>291.44359932096324</v>
      </c>
      <c r="AN43" s="39">
        <v>1581.2113173297573</v>
      </c>
      <c r="AO43" s="39">
        <v>883.19113041376625</v>
      </c>
      <c r="AP43" s="39">
        <v>1212.5675337010236</v>
      </c>
      <c r="AQ43" s="39">
        <v>357.28969862099649</v>
      </c>
      <c r="AR43" s="39">
        <v>4472.6903905828631</v>
      </c>
      <c r="AS43" s="221" t="s">
        <v>692</v>
      </c>
    </row>
    <row r="44" spans="1:47" ht="20.45" customHeight="1">
      <c r="A44" s="51"/>
      <c r="B44" s="51"/>
      <c r="C44" s="52"/>
      <c r="D44" s="52"/>
      <c r="E44" s="52"/>
      <c r="F44" s="52"/>
      <c r="G44" s="52"/>
      <c r="H44" s="52"/>
      <c r="I44" s="52"/>
      <c r="J44" s="52"/>
      <c r="K44" s="52"/>
      <c r="L44" s="52"/>
      <c r="M44" s="52"/>
      <c r="N44" s="52"/>
      <c r="O44" s="33"/>
      <c r="P44" s="51"/>
      <c r="Q44" s="51"/>
      <c r="R44" s="52"/>
      <c r="S44" s="52"/>
      <c r="T44" s="52"/>
      <c r="U44" s="52"/>
      <c r="V44" s="52"/>
      <c r="W44" s="52"/>
      <c r="X44" s="52"/>
      <c r="Y44" s="52"/>
      <c r="Z44" s="52"/>
      <c r="AA44" s="52"/>
      <c r="AB44" s="52"/>
      <c r="AC44" s="52"/>
      <c r="AD44" s="33"/>
      <c r="AE44" s="1982" t="s">
        <v>624</v>
      </c>
      <c r="AF44" s="2409"/>
      <c r="AG44" s="2409"/>
      <c r="AH44" s="2409"/>
      <c r="AI44" s="2409"/>
      <c r="AJ44" s="2409"/>
      <c r="AK44" s="2409"/>
      <c r="AL44" s="2409"/>
      <c r="AM44" s="2409"/>
      <c r="AN44" s="2409"/>
      <c r="AO44" s="2409"/>
      <c r="AP44" s="2409"/>
      <c r="AQ44" s="2409"/>
      <c r="AR44" s="2409"/>
      <c r="AS44" s="222"/>
    </row>
    <row r="45" spans="1:47" s="9" customFormat="1" ht="16.5" customHeight="1">
      <c r="A45" s="1983" t="s">
        <v>510</v>
      </c>
      <c r="B45" s="2409"/>
      <c r="C45" s="2409"/>
      <c r="D45" s="2409"/>
      <c r="E45" s="2409"/>
      <c r="F45" s="2409"/>
      <c r="G45" s="2409"/>
      <c r="H45" s="2409"/>
      <c r="I45" s="2409"/>
      <c r="J45" s="2409"/>
      <c r="K45" s="2409"/>
      <c r="L45" s="2409"/>
      <c r="M45" s="2409"/>
      <c r="N45" s="2409"/>
      <c r="O45" s="7"/>
      <c r="P45" s="1983" t="s">
        <v>624</v>
      </c>
      <c r="Q45" s="2409"/>
      <c r="R45" s="2409"/>
      <c r="S45" s="2409"/>
      <c r="T45" s="2409"/>
      <c r="U45" s="2409"/>
      <c r="V45" s="2409"/>
      <c r="W45" s="2409"/>
      <c r="X45" s="2409"/>
      <c r="Y45" s="2409"/>
      <c r="Z45" s="2409"/>
      <c r="AA45" s="2409"/>
      <c r="AB45" s="2409"/>
      <c r="AC45" s="2409"/>
      <c r="AD45" s="75"/>
      <c r="AE45" s="1982" t="s">
        <v>671</v>
      </c>
      <c r="AF45" s="1983"/>
      <c r="AG45" s="1983"/>
      <c r="AH45" s="1983"/>
      <c r="AI45" s="1983"/>
      <c r="AJ45" s="1983"/>
      <c r="AK45" s="1983"/>
      <c r="AL45" s="1983"/>
      <c r="AM45" s="1983"/>
      <c r="AN45" s="1983"/>
      <c r="AO45" s="1983"/>
      <c r="AP45" s="1983"/>
      <c r="AQ45" s="1983"/>
      <c r="AR45" s="1983"/>
      <c r="AS45" s="1984"/>
    </row>
    <row r="46" spans="1:47" ht="15.75" thickBot="1">
      <c r="P46" t="s">
        <v>633</v>
      </c>
      <c r="AE46" s="223" t="s">
        <v>48</v>
      </c>
      <c r="AF46" s="224"/>
      <c r="AG46" s="224"/>
      <c r="AH46" s="224"/>
      <c r="AI46" s="224"/>
      <c r="AJ46" s="224"/>
      <c r="AK46" s="224"/>
      <c r="AL46" s="225" t="s">
        <v>47</v>
      </c>
      <c r="AM46" s="194" t="s">
        <v>130</v>
      </c>
      <c r="AN46" s="194"/>
      <c r="AO46" s="194"/>
      <c r="AP46" s="2398" t="s">
        <v>655</v>
      </c>
      <c r="AQ46" s="2398"/>
      <c r="AR46" s="2398"/>
      <c r="AS46" s="197"/>
    </row>
    <row r="47" spans="1:47" ht="15.75" thickTop="1"/>
    <row r="48" spans="1:47">
      <c r="AE48" s="2184"/>
      <c r="AF48" s="2184"/>
      <c r="AG48" s="2184"/>
      <c r="AH48" s="2184"/>
      <c r="AI48" s="2184"/>
      <c r="AJ48" s="2184"/>
      <c r="AK48" s="2184"/>
      <c r="AL48" s="2184"/>
      <c r="AM48" s="2184"/>
      <c r="AN48" s="2184"/>
      <c r="AO48" s="2184"/>
      <c r="AP48" s="2184"/>
      <c r="AQ48" s="2184"/>
      <c r="AR48" s="2184"/>
      <c r="AS48" s="2184"/>
      <c r="AT48" s="2184"/>
      <c r="AU48" s="2184"/>
    </row>
    <row r="171" spans="7:7">
      <c r="G171" s="1" t="s">
        <v>532</v>
      </c>
    </row>
  </sheetData>
  <mergeCells count="33">
    <mergeCell ref="AE48:AU48"/>
    <mergeCell ref="A42:B42"/>
    <mergeCell ref="A45:N45"/>
    <mergeCell ref="A1:O1"/>
    <mergeCell ref="A2:O2"/>
    <mergeCell ref="A4:A5"/>
    <mergeCell ref="B4:B5"/>
    <mergeCell ref="C4:H4"/>
    <mergeCell ref="I4:N4"/>
    <mergeCell ref="O4:O5"/>
    <mergeCell ref="M3:O3"/>
    <mergeCell ref="P42:Q42"/>
    <mergeCell ref="P45:AC45"/>
    <mergeCell ref="P1:AD1"/>
    <mergeCell ref="P2:AD2"/>
    <mergeCell ref="AB3:AD3"/>
    <mergeCell ref="P4:P5"/>
    <mergeCell ref="Q4:Q5"/>
    <mergeCell ref="R4:W4"/>
    <mergeCell ref="X4:AC4"/>
    <mergeCell ref="AD4:AD5"/>
    <mergeCell ref="AE43:AF43"/>
    <mergeCell ref="AE45:AS45"/>
    <mergeCell ref="AE44:AR44"/>
    <mergeCell ref="AP46:AR46"/>
    <mergeCell ref="AE1:AS1"/>
    <mergeCell ref="AE2:AS2"/>
    <mergeCell ref="AQ3:AS3"/>
    <mergeCell ref="AE4:AE5"/>
    <mergeCell ref="AS4:AS5"/>
    <mergeCell ref="AG4:AL4"/>
    <mergeCell ref="AM4:AR4"/>
    <mergeCell ref="AF4:AF5"/>
  </mergeCells>
  <conditionalFormatting sqref="AE6:AS43">
    <cfRule type="expression" dxfId="21" priority="1">
      <formula>MOD(ROW(),3)=1</formula>
    </cfRule>
  </conditionalFormatting>
  <printOptions horizontalCentered="1"/>
  <pageMargins left="0.70866141732283472" right="0.70866141732283472" top="0.51181102362204722" bottom="0.39370078740157483" header="0.31496062992125984" footer="0.31496062992125984"/>
  <pageSetup paperSize="9" scale="75" orientation="landscape" r:id="rId1"/>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U34"/>
  <sheetViews>
    <sheetView view="pageBreakPreview" topLeftCell="A16" zoomScaleSheetLayoutView="100" workbookViewId="0">
      <selection activeCell="S17" sqref="S17"/>
    </sheetView>
  </sheetViews>
  <sheetFormatPr defaultColWidth="9.140625" defaultRowHeight="15"/>
  <cols>
    <col min="1" max="1" width="41.85546875" style="273" customWidth="1"/>
    <col min="2" max="7" width="13.140625" style="273" customWidth="1"/>
    <col min="8" max="16384" width="9.140625" style="273"/>
  </cols>
  <sheetData>
    <row r="1" spans="1:19" ht="27.75" customHeight="1" thickTop="1">
      <c r="A1" s="2426" t="s">
        <v>2809</v>
      </c>
      <c r="B1" s="2427"/>
      <c r="C1" s="2427"/>
      <c r="D1" s="2427"/>
      <c r="E1" s="2427"/>
      <c r="F1" s="2427"/>
      <c r="G1" s="2428"/>
    </row>
    <row r="2" spans="1:19" ht="20.100000000000001" customHeight="1">
      <c r="A2" s="2429" t="s">
        <v>2810</v>
      </c>
      <c r="B2" s="2430"/>
      <c r="C2" s="2430"/>
      <c r="D2" s="2430"/>
      <c r="E2" s="2430"/>
      <c r="F2" s="2430"/>
      <c r="G2" s="2431"/>
    </row>
    <row r="3" spans="1:19" ht="25.5" customHeight="1">
      <c r="A3" s="2432" t="s">
        <v>432</v>
      </c>
      <c r="B3" s="2433"/>
      <c r="C3" s="2433"/>
      <c r="D3" s="2433"/>
      <c r="E3" s="2433"/>
      <c r="F3" s="2433"/>
      <c r="G3" s="2434"/>
      <c r="S3" s="377">
        <v>2.5</v>
      </c>
    </row>
    <row r="4" spans="1:19" s="277" customFormat="1" ht="20.100000000000001" customHeight="1">
      <c r="A4" s="274"/>
      <c r="B4" s="275" t="s">
        <v>42</v>
      </c>
      <c r="C4" s="275" t="s">
        <v>129</v>
      </c>
      <c r="D4" s="275" t="s">
        <v>142</v>
      </c>
      <c r="E4" s="275" t="s">
        <v>276</v>
      </c>
      <c r="F4" s="275" t="s">
        <v>522</v>
      </c>
      <c r="G4" s="276" t="s">
        <v>652</v>
      </c>
    </row>
    <row r="5" spans="1:19" ht="30" customHeight="1">
      <c r="A5" s="2344" t="s">
        <v>708</v>
      </c>
      <c r="B5" s="2425"/>
      <c r="C5" s="2425"/>
      <c r="D5" s="2425"/>
      <c r="E5" s="2425"/>
      <c r="F5" s="2425"/>
      <c r="G5" s="278"/>
    </row>
    <row r="6" spans="1:19" s="277" customFormat="1" ht="30" customHeight="1">
      <c r="A6" s="279" t="s">
        <v>709</v>
      </c>
      <c r="B6" s="280">
        <v>61.23</v>
      </c>
      <c r="C6" s="280">
        <v>62.03</v>
      </c>
      <c r="D6" s="280">
        <v>56.55</v>
      </c>
      <c r="E6" s="280">
        <v>62.62</v>
      </c>
      <c r="F6" s="280">
        <v>87.125455500000001</v>
      </c>
      <c r="G6" s="281">
        <v>76.876706299999995</v>
      </c>
    </row>
    <row r="7" spans="1:19" ht="30" customHeight="1">
      <c r="A7" s="279" t="s">
        <v>710</v>
      </c>
      <c r="B7" s="280">
        <v>5.36</v>
      </c>
      <c r="C7" s="280">
        <v>20.99</v>
      </c>
      <c r="D7" s="280">
        <v>29.99</v>
      </c>
      <c r="E7" s="280">
        <v>31.79</v>
      </c>
      <c r="F7" s="280">
        <v>38.871152600000002</v>
      </c>
      <c r="G7" s="281">
        <v>13.1777137</v>
      </c>
    </row>
    <row r="8" spans="1:19" ht="30" customHeight="1">
      <c r="A8" s="279" t="s">
        <v>711</v>
      </c>
      <c r="B8" s="280">
        <v>340.45</v>
      </c>
      <c r="C8" s="280">
        <v>243.83</v>
      </c>
      <c r="D8" s="280">
        <v>302.88</v>
      </c>
      <c r="E8" s="280">
        <v>228.69</v>
      </c>
      <c r="F8" s="280">
        <v>266.63031319999999</v>
      </c>
      <c r="G8" s="281">
        <v>248.74186889999999</v>
      </c>
    </row>
    <row r="9" spans="1:19" ht="30" customHeight="1">
      <c r="A9" s="279" t="s">
        <v>712</v>
      </c>
      <c r="B9" s="280">
        <v>2499.9899999999998</v>
      </c>
      <c r="C9" s="280">
        <v>3316.53</v>
      </c>
      <c r="D9" s="280">
        <v>3558.11</v>
      </c>
      <c r="E9" s="280">
        <v>4479.34</v>
      </c>
      <c r="F9" s="280">
        <v>5065.6268724000001</v>
      </c>
      <c r="G9" s="281">
        <v>4973.4756434999999</v>
      </c>
    </row>
    <row r="10" spans="1:19" ht="30" customHeight="1">
      <c r="A10" s="279" t="s">
        <v>713</v>
      </c>
      <c r="B10" s="280">
        <v>4311.17</v>
      </c>
      <c r="C10" s="280">
        <v>4085.29</v>
      </c>
      <c r="D10" s="280">
        <v>3967.71</v>
      </c>
      <c r="E10" s="280">
        <v>4065.58</v>
      </c>
      <c r="F10" s="280">
        <v>3892.5690768999998</v>
      </c>
      <c r="G10" s="281">
        <v>2378.5175992999998</v>
      </c>
    </row>
    <row r="11" spans="1:19" ht="30" customHeight="1">
      <c r="A11" s="279" t="s">
        <v>714</v>
      </c>
      <c r="B11" s="280">
        <v>2368.79</v>
      </c>
      <c r="C11" s="280">
        <v>2173.1</v>
      </c>
      <c r="D11" s="280">
        <v>2223.96</v>
      </c>
      <c r="E11" s="280">
        <v>2679.21</v>
      </c>
      <c r="F11" s="280">
        <v>2056.6298609</v>
      </c>
      <c r="G11" s="281">
        <v>1220.2675454</v>
      </c>
    </row>
    <row r="12" spans="1:19" ht="30" customHeight="1">
      <c r="A12" s="269" t="s">
        <v>715</v>
      </c>
      <c r="B12" s="270">
        <f>SUM(B6:B11)</f>
        <v>9586.99</v>
      </c>
      <c r="C12" s="270">
        <f>SUM(C6:C11)</f>
        <v>9901.77</v>
      </c>
      <c r="D12" s="270">
        <f>SUM(D6:D11)</f>
        <v>10139.200000000001</v>
      </c>
      <c r="E12" s="270">
        <f>SUM(E6:E11)</f>
        <v>11547.23</v>
      </c>
      <c r="F12" s="270">
        <v>11407.4527315</v>
      </c>
      <c r="G12" s="282">
        <f>SUM(G6:G11)</f>
        <v>8911.0570771000002</v>
      </c>
    </row>
    <row r="13" spans="1:19" ht="30" customHeight="1">
      <c r="A13" s="2423" t="s">
        <v>716</v>
      </c>
      <c r="B13" s="2424"/>
      <c r="C13" s="2424"/>
      <c r="D13" s="2424"/>
      <c r="E13" s="2424"/>
      <c r="F13" s="1160"/>
      <c r="G13" s="1147"/>
    </row>
    <row r="14" spans="1:19" ht="30" customHeight="1">
      <c r="A14" s="283" t="s">
        <v>717</v>
      </c>
      <c r="B14" s="284">
        <v>639.77</v>
      </c>
      <c r="C14" s="284">
        <v>633.39</v>
      </c>
      <c r="D14" s="285">
        <v>793.3</v>
      </c>
      <c r="E14" s="286">
        <v>1088.1300000000001</v>
      </c>
      <c r="F14" s="286" t="s">
        <v>47</v>
      </c>
      <c r="G14" s="287" t="s">
        <v>47</v>
      </c>
    </row>
    <row r="15" spans="1:19" ht="37.5" customHeight="1">
      <c r="A15" s="2417" t="s">
        <v>718</v>
      </c>
      <c r="B15" s="2418"/>
      <c r="C15" s="2418"/>
      <c r="D15" s="2418"/>
      <c r="E15" s="2418"/>
      <c r="F15" s="2418"/>
      <c r="G15" s="2419"/>
    </row>
    <row r="16" spans="1:19" ht="20.100000000000001" customHeight="1">
      <c r="A16" s="2420"/>
      <c r="B16" s="2421"/>
      <c r="C16" s="2421"/>
      <c r="D16" s="2421"/>
      <c r="E16" s="2421"/>
      <c r="F16" s="2421"/>
      <c r="G16" s="2422"/>
    </row>
    <row r="17" spans="1:21" ht="20.100000000000001" customHeight="1">
      <c r="A17" s="2420"/>
      <c r="B17" s="2421"/>
      <c r="C17" s="2421"/>
      <c r="D17" s="2421"/>
      <c r="E17" s="2421"/>
      <c r="F17" s="288"/>
      <c r="G17" s="1458"/>
    </row>
    <row r="18" spans="1:21" ht="21.95" customHeight="1">
      <c r="A18" s="2429" t="s">
        <v>2811</v>
      </c>
      <c r="B18" s="2430"/>
      <c r="C18" s="2430"/>
      <c r="D18" s="2430"/>
      <c r="E18" s="2430"/>
      <c r="F18" s="2430"/>
      <c r="G18" s="2431"/>
      <c r="H18" s="289"/>
      <c r="I18" s="289"/>
      <c r="J18" s="289"/>
      <c r="K18" s="289"/>
      <c r="L18" s="289"/>
      <c r="M18" s="289"/>
      <c r="N18" s="289"/>
      <c r="O18" s="289"/>
      <c r="P18" s="289"/>
      <c r="Q18" s="289"/>
      <c r="R18" s="289"/>
      <c r="S18" s="289"/>
      <c r="T18" s="289"/>
      <c r="U18" s="289"/>
    </row>
    <row r="19" spans="1:21" ht="20.100000000000001" customHeight="1">
      <c r="A19" s="2443" t="s">
        <v>2812</v>
      </c>
      <c r="B19" s="2444"/>
      <c r="C19" s="2444"/>
      <c r="D19" s="2444"/>
      <c r="E19" s="2444"/>
      <c r="F19" s="2444"/>
      <c r="G19" s="2445"/>
    </row>
    <row r="20" spans="1:21" ht="21.95" customHeight="1">
      <c r="A20" s="2432" t="s">
        <v>432</v>
      </c>
      <c r="B20" s="2433"/>
      <c r="C20" s="2433"/>
      <c r="D20" s="2433"/>
      <c r="E20" s="2433"/>
      <c r="F20" s="2433"/>
      <c r="G20" s="2434"/>
    </row>
    <row r="21" spans="1:21" s="277" customFormat="1" ht="20.100000000000001" customHeight="1">
      <c r="A21" s="290"/>
      <c r="B21" s="291" t="s">
        <v>42</v>
      </c>
      <c r="C21" s="291" t="s">
        <v>129</v>
      </c>
      <c r="D21" s="291" t="s">
        <v>142</v>
      </c>
      <c r="E21" s="291" t="s">
        <v>276</v>
      </c>
      <c r="F21" s="291" t="s">
        <v>522</v>
      </c>
      <c r="G21" s="292" t="s">
        <v>652</v>
      </c>
    </row>
    <row r="22" spans="1:21" ht="30" customHeight="1">
      <c r="A22" s="2435" t="s">
        <v>719</v>
      </c>
      <c r="B22" s="2436"/>
      <c r="C22" s="2436"/>
      <c r="D22" s="2436"/>
      <c r="E22" s="2436"/>
      <c r="F22" s="2436"/>
      <c r="G22" s="278"/>
    </row>
    <row r="23" spans="1:21" ht="30" customHeight="1">
      <c r="A23" s="279" t="s">
        <v>709</v>
      </c>
      <c r="B23" s="280">
        <v>465.98</v>
      </c>
      <c r="C23" s="280">
        <v>527.4</v>
      </c>
      <c r="D23" s="280">
        <v>411.48</v>
      </c>
      <c r="E23" s="280">
        <v>298.08999999999997</v>
      </c>
      <c r="F23" s="280">
        <v>238.0139686</v>
      </c>
      <c r="G23" s="281">
        <v>63.241126899999998</v>
      </c>
    </row>
    <row r="24" spans="1:21" ht="30" customHeight="1">
      <c r="A24" s="279" t="s">
        <v>710</v>
      </c>
      <c r="B24" s="280">
        <v>27603.919999999998</v>
      </c>
      <c r="C24" s="280">
        <v>27060.86</v>
      </c>
      <c r="D24" s="280">
        <v>26921.5</v>
      </c>
      <c r="E24" s="280">
        <v>26033.919999999998</v>
      </c>
      <c r="F24" s="280">
        <v>23375.0398776</v>
      </c>
      <c r="G24" s="281">
        <v>23845.795920199998</v>
      </c>
    </row>
    <row r="25" spans="1:21" ht="30" customHeight="1">
      <c r="A25" s="279" t="s">
        <v>511</v>
      </c>
      <c r="B25" s="280">
        <v>2145.79</v>
      </c>
      <c r="C25" s="280">
        <v>1963.53</v>
      </c>
      <c r="D25" s="280">
        <v>2363.7600000000002</v>
      </c>
      <c r="E25" s="280">
        <v>3773.24</v>
      </c>
      <c r="F25" s="280">
        <v>2503.0807909</v>
      </c>
      <c r="G25" s="281">
        <v>2606.3161500000001</v>
      </c>
    </row>
    <row r="26" spans="1:21" ht="30" customHeight="1">
      <c r="A26" s="279" t="s">
        <v>712</v>
      </c>
      <c r="B26" s="280">
        <v>5236.62</v>
      </c>
      <c r="C26" s="280">
        <v>7457.27</v>
      </c>
      <c r="D26" s="280">
        <v>9405.7000000000007</v>
      </c>
      <c r="E26" s="280">
        <v>13413.35</v>
      </c>
      <c r="F26" s="280">
        <v>8263.0367640000004</v>
      </c>
      <c r="G26" s="281">
        <v>14910.5425944</v>
      </c>
    </row>
    <row r="27" spans="1:21" ht="30" customHeight="1">
      <c r="A27" s="279" t="s">
        <v>713</v>
      </c>
      <c r="B27" s="280">
        <v>6852.7</v>
      </c>
      <c r="C27" s="280">
        <v>5947.45</v>
      </c>
      <c r="D27" s="280">
        <v>5636.69</v>
      </c>
      <c r="E27" s="280">
        <v>5048.37</v>
      </c>
      <c r="F27" s="280">
        <v>3717.6263545000002</v>
      </c>
      <c r="G27" s="281">
        <v>2801.4184719999998</v>
      </c>
    </row>
    <row r="28" spans="1:21" ht="30" customHeight="1">
      <c r="A28" s="279" t="s">
        <v>714</v>
      </c>
      <c r="B28" s="280">
        <v>1165.32</v>
      </c>
      <c r="C28" s="280">
        <v>1075.9000000000001</v>
      </c>
      <c r="D28" s="280">
        <v>1059.76</v>
      </c>
      <c r="E28" s="280">
        <v>1390.17</v>
      </c>
      <c r="F28" s="280">
        <v>1134.2890976000001</v>
      </c>
      <c r="G28" s="281">
        <v>656.32343219999996</v>
      </c>
    </row>
    <row r="29" spans="1:21" ht="30" customHeight="1">
      <c r="A29" s="269" t="s">
        <v>715</v>
      </c>
      <c r="B29" s="270">
        <f>SUM(B23:B28)</f>
        <v>43470.329999999994</v>
      </c>
      <c r="C29" s="270">
        <f>SUM(C23:C28)</f>
        <v>44032.409999999996</v>
      </c>
      <c r="D29" s="270">
        <f>SUM(D23:D28)</f>
        <v>45798.890000000007</v>
      </c>
      <c r="E29" s="270">
        <f>SUM(E23:E28)</f>
        <v>49957.14</v>
      </c>
      <c r="F29" s="270">
        <v>39231.086853200002</v>
      </c>
      <c r="G29" s="293">
        <v>44883.637695699996</v>
      </c>
    </row>
    <row r="30" spans="1:21" ht="30" customHeight="1">
      <c r="A30" s="2435" t="s">
        <v>720</v>
      </c>
      <c r="B30" s="2436"/>
      <c r="C30" s="2436"/>
      <c r="D30" s="2436"/>
      <c r="E30" s="2436"/>
      <c r="F30" s="2436"/>
      <c r="G30" s="2439"/>
    </row>
    <row r="31" spans="1:21" ht="30" customHeight="1">
      <c r="A31" s="269" t="s">
        <v>717</v>
      </c>
      <c r="B31" s="270">
        <v>30420.83</v>
      </c>
      <c r="C31" s="270">
        <v>37870.9</v>
      </c>
      <c r="D31" s="270">
        <v>45106.89</v>
      </c>
      <c r="E31" s="271">
        <v>46589.37</v>
      </c>
      <c r="F31" s="271">
        <v>46662.85</v>
      </c>
      <c r="G31" s="272" t="s">
        <v>47</v>
      </c>
    </row>
    <row r="32" spans="1:21" ht="41.25" customHeight="1">
      <c r="A32" s="2440" t="s">
        <v>718</v>
      </c>
      <c r="B32" s="2441"/>
      <c r="C32" s="2441"/>
      <c r="D32" s="2441"/>
      <c r="E32" s="2441"/>
      <c r="F32" s="2441"/>
      <c r="G32" s="2442"/>
    </row>
    <row r="33" spans="1:7" ht="20.100000000000001" customHeight="1" thickBot="1">
      <c r="A33" s="2437" t="s">
        <v>431</v>
      </c>
      <c r="B33" s="2438"/>
      <c r="C33" s="2438"/>
      <c r="D33" s="2438"/>
      <c r="E33" s="2438"/>
      <c r="F33" s="1456"/>
      <c r="G33" s="1457"/>
    </row>
    <row r="34" spans="1:7" ht="20.100000000000001" customHeight="1" thickTop="1">
      <c r="F34" s="288"/>
      <c r="G34" s="288"/>
    </row>
  </sheetData>
  <mergeCells count="15">
    <mergeCell ref="A22:F22"/>
    <mergeCell ref="A33:E33"/>
    <mergeCell ref="A17:E17"/>
    <mergeCell ref="A30:G30"/>
    <mergeCell ref="A32:G32"/>
    <mergeCell ref="A19:G19"/>
    <mergeCell ref="A18:G18"/>
    <mergeCell ref="A20:G20"/>
    <mergeCell ref="A15:G15"/>
    <mergeCell ref="A16:G16"/>
    <mergeCell ref="A13:E13"/>
    <mergeCell ref="A5:F5"/>
    <mergeCell ref="A1:G1"/>
    <mergeCell ref="A2:G2"/>
    <mergeCell ref="A3:G3"/>
  </mergeCells>
  <conditionalFormatting sqref="A22:G31">
    <cfRule type="expression" dxfId="20" priority="1">
      <formula>MOD(ROW(),3)=1</formula>
    </cfRule>
  </conditionalFormatting>
  <conditionalFormatting sqref="A5:G14">
    <cfRule type="expression" dxfId="19" priority="2">
      <formula>MOD(ROW(),3)=1</formula>
    </cfRule>
  </conditionalFormatting>
  <printOptions horizontalCentered="1" verticalCentered="1"/>
  <pageMargins left="0.70866141732283472" right="0.70866141732283472" top="0.51181102362204722" bottom="0.39370078740157483" header="0.31496062992125984" footer="0.31496062992125984"/>
  <pageSetup paperSize="9" scale="72"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S174"/>
  <sheetViews>
    <sheetView view="pageBreakPreview" zoomScaleSheetLayoutView="100" workbookViewId="0">
      <selection activeCell="S17" sqref="S17"/>
    </sheetView>
  </sheetViews>
  <sheetFormatPr defaultColWidth="9.140625" defaultRowHeight="15"/>
  <cols>
    <col min="1" max="1" width="12.28515625" style="62" customWidth="1"/>
    <col min="2" max="5" width="22.28515625" style="62" customWidth="1"/>
    <col min="6" max="16384" width="9.140625" style="62"/>
  </cols>
  <sheetData>
    <row r="1" spans="1:19" s="64" customFormat="1" ht="25.5" customHeight="1" thickTop="1">
      <c r="A1" s="2449" t="s">
        <v>2813</v>
      </c>
      <c r="B1" s="2450"/>
      <c r="C1" s="2450"/>
      <c r="D1" s="2450"/>
      <c r="E1" s="2451"/>
    </row>
    <row r="2" spans="1:19" s="64" customFormat="1" ht="25.5" customHeight="1">
      <c r="A2" s="2455" t="s">
        <v>2814</v>
      </c>
      <c r="B2" s="2456"/>
      <c r="C2" s="2456"/>
      <c r="D2" s="2456"/>
      <c r="E2" s="2457"/>
    </row>
    <row r="3" spans="1:19" s="64" customFormat="1" ht="25.5" customHeight="1">
      <c r="A3" s="214"/>
      <c r="B3" s="1446"/>
      <c r="C3" s="1446"/>
      <c r="D3" s="2453" t="s">
        <v>700</v>
      </c>
      <c r="E3" s="2454"/>
      <c r="S3" s="378">
        <v>2.5</v>
      </c>
    </row>
    <row r="4" spans="1:19" s="94" customFormat="1" ht="30.95" customHeight="1">
      <c r="A4" s="2458" t="s">
        <v>688</v>
      </c>
      <c r="B4" s="2462" t="s">
        <v>701</v>
      </c>
      <c r="C4" s="2462" t="s">
        <v>702</v>
      </c>
      <c r="D4" s="2462" t="s">
        <v>703</v>
      </c>
      <c r="E4" s="2460" t="s">
        <v>704</v>
      </c>
    </row>
    <row r="5" spans="1:19" s="94" customFormat="1" ht="30.95" customHeight="1">
      <c r="A5" s="2459"/>
      <c r="B5" s="2463"/>
      <c r="C5" s="2463"/>
      <c r="D5" s="2463"/>
      <c r="E5" s="2461"/>
    </row>
    <row r="6" spans="1:19" s="90" customFormat="1" ht="30.95" customHeight="1">
      <c r="A6" s="215">
        <v>1</v>
      </c>
      <c r="B6" s="245" t="s">
        <v>495</v>
      </c>
      <c r="C6" s="246">
        <v>5.34</v>
      </c>
      <c r="D6" s="247">
        <v>2.1800000000000002</v>
      </c>
      <c r="E6" s="248">
        <v>7.52</v>
      </c>
      <c r="F6" s="62"/>
      <c r="G6" s="62"/>
      <c r="H6" s="62"/>
      <c r="I6" s="62"/>
      <c r="J6" s="62"/>
      <c r="K6" s="62"/>
    </row>
    <row r="7" spans="1:19" ht="30.95" customHeight="1">
      <c r="A7" s="216">
        <v>2</v>
      </c>
      <c r="B7" s="63" t="s">
        <v>494</v>
      </c>
      <c r="C7" s="249">
        <v>8.8000000000000007</v>
      </c>
      <c r="D7" s="250">
        <v>2.8</v>
      </c>
      <c r="E7" s="251">
        <v>11.6</v>
      </c>
    </row>
    <row r="8" spans="1:19" ht="30.95" customHeight="1">
      <c r="A8" s="216">
        <v>3</v>
      </c>
      <c r="B8" s="63" t="s">
        <v>493</v>
      </c>
      <c r="C8" s="249">
        <v>10.86</v>
      </c>
      <c r="D8" s="250">
        <v>6.7</v>
      </c>
      <c r="E8" s="251">
        <v>17.559999999999999</v>
      </c>
    </row>
    <row r="9" spans="1:19" ht="30.95" customHeight="1">
      <c r="A9" s="216">
        <v>4</v>
      </c>
      <c r="B9" s="63" t="s">
        <v>492</v>
      </c>
      <c r="C9" s="249">
        <v>15.55</v>
      </c>
      <c r="D9" s="250">
        <v>8.8699999999999992</v>
      </c>
      <c r="E9" s="251">
        <v>24.42</v>
      </c>
    </row>
    <row r="10" spans="1:19" ht="30.95" customHeight="1">
      <c r="A10" s="215">
        <v>5</v>
      </c>
      <c r="B10" s="63" t="s">
        <v>491</v>
      </c>
      <c r="C10" s="249">
        <v>23</v>
      </c>
      <c r="D10" s="250">
        <v>15.36</v>
      </c>
      <c r="E10" s="251">
        <v>38.36</v>
      </c>
    </row>
    <row r="11" spans="1:19" ht="30.95" customHeight="1">
      <c r="A11" s="216">
        <v>6</v>
      </c>
      <c r="B11" s="63" t="s">
        <v>490</v>
      </c>
      <c r="C11" s="249">
        <v>28.11</v>
      </c>
      <c r="D11" s="250">
        <v>28.45</v>
      </c>
      <c r="E11" s="251">
        <v>56.56</v>
      </c>
    </row>
    <row r="12" spans="1:19" ht="30.95" customHeight="1">
      <c r="A12" s="216">
        <v>7</v>
      </c>
      <c r="B12" s="63" t="s">
        <v>489</v>
      </c>
      <c r="C12" s="249">
        <v>28.3</v>
      </c>
      <c r="D12" s="250">
        <v>31.26</v>
      </c>
      <c r="E12" s="251">
        <v>59.56</v>
      </c>
    </row>
    <row r="13" spans="1:19" ht="30.95" customHeight="1">
      <c r="A13" s="216">
        <v>8</v>
      </c>
      <c r="B13" s="63" t="s">
        <v>488</v>
      </c>
      <c r="C13" s="249">
        <v>29.9</v>
      </c>
      <c r="D13" s="250">
        <v>32.1</v>
      </c>
      <c r="E13" s="251">
        <v>62</v>
      </c>
    </row>
    <row r="14" spans="1:19" ht="30.95" customHeight="1">
      <c r="A14" s="215">
        <v>9</v>
      </c>
      <c r="B14" s="63" t="s">
        <v>487</v>
      </c>
      <c r="C14" s="249">
        <v>29.41</v>
      </c>
      <c r="D14" s="250">
        <v>34.58</v>
      </c>
      <c r="E14" s="251">
        <v>63.989999999999995</v>
      </c>
    </row>
    <row r="15" spans="1:19" ht="30.95" customHeight="1">
      <c r="A15" s="216">
        <v>10</v>
      </c>
      <c r="B15" s="63" t="s">
        <v>486</v>
      </c>
      <c r="C15" s="249">
        <v>27.79</v>
      </c>
      <c r="D15" s="250">
        <v>35.26</v>
      </c>
      <c r="E15" s="251">
        <v>63.05</v>
      </c>
    </row>
    <row r="16" spans="1:19" ht="30.95" customHeight="1">
      <c r="A16" s="216">
        <v>11</v>
      </c>
      <c r="B16" s="63" t="s">
        <v>485</v>
      </c>
      <c r="C16" s="249">
        <v>28.16</v>
      </c>
      <c r="D16" s="250">
        <v>37.56</v>
      </c>
      <c r="E16" s="251">
        <v>65.72</v>
      </c>
    </row>
    <row r="17" spans="1:5" ht="30.95" customHeight="1">
      <c r="A17" s="216">
        <v>12</v>
      </c>
      <c r="B17" s="63" t="s">
        <v>484</v>
      </c>
      <c r="C17" s="249">
        <v>30.24</v>
      </c>
      <c r="D17" s="249">
        <v>38.450000000000003</v>
      </c>
      <c r="E17" s="251">
        <v>68.69</v>
      </c>
    </row>
    <row r="18" spans="1:5" ht="30.95" customHeight="1">
      <c r="A18" s="215">
        <v>13</v>
      </c>
      <c r="B18" s="63" t="s">
        <v>483</v>
      </c>
      <c r="C18" s="249">
        <v>29.2</v>
      </c>
      <c r="D18" s="250">
        <v>42.07</v>
      </c>
      <c r="E18" s="251">
        <v>71.27</v>
      </c>
    </row>
    <row r="19" spans="1:5" ht="30.95" customHeight="1">
      <c r="A19" s="216">
        <v>14</v>
      </c>
      <c r="B19" s="63" t="s">
        <v>482</v>
      </c>
      <c r="C19" s="249">
        <v>29.78</v>
      </c>
      <c r="D19" s="250">
        <v>46.38</v>
      </c>
      <c r="E19" s="251">
        <v>76.16</v>
      </c>
    </row>
    <row r="20" spans="1:5" ht="30.95" customHeight="1">
      <c r="A20" s="216">
        <v>15</v>
      </c>
      <c r="B20" s="63" t="s">
        <v>481</v>
      </c>
      <c r="C20" s="249">
        <v>31.04</v>
      </c>
      <c r="D20" s="250">
        <v>48.94</v>
      </c>
      <c r="E20" s="251">
        <v>79.97999999999999</v>
      </c>
    </row>
    <row r="21" spans="1:5" ht="30.95" customHeight="1">
      <c r="A21" s="216">
        <v>16</v>
      </c>
      <c r="B21" s="63" t="s">
        <v>1</v>
      </c>
      <c r="C21" s="249">
        <v>32.5</v>
      </c>
      <c r="D21" s="250">
        <v>49.81</v>
      </c>
      <c r="E21" s="251">
        <v>82.31</v>
      </c>
    </row>
    <row r="22" spans="1:5" ht="30.95" customHeight="1">
      <c r="A22" s="215">
        <v>17</v>
      </c>
      <c r="B22" s="63" t="s">
        <v>2</v>
      </c>
      <c r="C22" s="249">
        <v>33.72</v>
      </c>
      <c r="D22" s="249">
        <v>52.95</v>
      </c>
      <c r="E22" s="251">
        <v>86.67</v>
      </c>
    </row>
    <row r="23" spans="1:5" ht="30.95" customHeight="1">
      <c r="A23" s="216">
        <v>18</v>
      </c>
      <c r="B23" s="63" t="s">
        <v>3</v>
      </c>
      <c r="C23" s="249">
        <v>33.21</v>
      </c>
      <c r="D23" s="249">
        <v>57.19</v>
      </c>
      <c r="E23" s="251">
        <f t="shared" ref="E23:E30" si="0">SUM(C23:D23)</f>
        <v>90.4</v>
      </c>
    </row>
    <row r="24" spans="1:5" ht="30.95" customHeight="1">
      <c r="A24" s="216">
        <v>19</v>
      </c>
      <c r="B24" s="63" t="s">
        <v>13</v>
      </c>
      <c r="C24" s="249">
        <v>34.43</v>
      </c>
      <c r="D24" s="249">
        <v>61.36</v>
      </c>
      <c r="E24" s="251">
        <f t="shared" si="0"/>
        <v>95.789999999999992</v>
      </c>
    </row>
    <row r="25" spans="1:5" ht="30.95" customHeight="1">
      <c r="A25" s="216">
        <v>20</v>
      </c>
      <c r="B25" s="63" t="s">
        <v>480</v>
      </c>
      <c r="C25" s="249">
        <v>35.69</v>
      </c>
      <c r="D25" s="249">
        <v>66.91</v>
      </c>
      <c r="E25" s="251">
        <f t="shared" si="0"/>
        <v>102.6</v>
      </c>
    </row>
    <row r="26" spans="1:5" ht="30.95" customHeight="1">
      <c r="A26" s="215">
        <v>21</v>
      </c>
      <c r="B26" s="63" t="s">
        <v>42</v>
      </c>
      <c r="C26" s="249">
        <v>36</v>
      </c>
      <c r="D26" s="249">
        <v>71.62</v>
      </c>
      <c r="E26" s="251">
        <f t="shared" si="0"/>
        <v>107.62</v>
      </c>
    </row>
    <row r="27" spans="1:5" ht="30.95" customHeight="1">
      <c r="A27" s="216">
        <v>22</v>
      </c>
      <c r="B27" s="63" t="s">
        <v>479</v>
      </c>
      <c r="C27" s="249">
        <v>36.25</v>
      </c>
      <c r="D27" s="249">
        <v>78.06</v>
      </c>
      <c r="E27" s="251">
        <f t="shared" si="0"/>
        <v>114.31</v>
      </c>
    </row>
    <row r="28" spans="1:5" ht="30.95" customHeight="1">
      <c r="A28" s="216">
        <v>23</v>
      </c>
      <c r="B28" s="63" t="s">
        <v>142</v>
      </c>
      <c r="C28" s="249">
        <v>37.56</v>
      </c>
      <c r="D28" s="249">
        <v>89.48</v>
      </c>
      <c r="E28" s="251">
        <f t="shared" si="0"/>
        <v>127.04</v>
      </c>
    </row>
    <row r="29" spans="1:5" ht="30.95" customHeight="1">
      <c r="A29" s="216">
        <v>24</v>
      </c>
      <c r="B29" s="63" t="s">
        <v>276</v>
      </c>
      <c r="C29" s="249">
        <v>38.53</v>
      </c>
      <c r="D29" s="249">
        <v>97.2</v>
      </c>
      <c r="E29" s="251">
        <f t="shared" si="0"/>
        <v>135.73000000000002</v>
      </c>
    </row>
    <row r="30" spans="1:5" ht="30.95" customHeight="1">
      <c r="A30" s="216">
        <v>25</v>
      </c>
      <c r="B30" s="63" t="s">
        <v>522</v>
      </c>
      <c r="C30" s="249">
        <v>37.270000000000003</v>
      </c>
      <c r="D30" s="249">
        <v>104.37</v>
      </c>
      <c r="E30" s="251">
        <f t="shared" si="0"/>
        <v>141.64000000000001</v>
      </c>
    </row>
    <row r="31" spans="1:5" ht="30.95" customHeight="1">
      <c r="A31" s="216">
        <v>26</v>
      </c>
      <c r="B31" s="63" t="s">
        <v>652</v>
      </c>
      <c r="C31" s="249">
        <v>34.790558400000002</v>
      </c>
      <c r="D31" s="249">
        <v>112.48936740000001</v>
      </c>
      <c r="E31" s="251">
        <v>147.2799258</v>
      </c>
    </row>
    <row r="32" spans="1:5" s="19" customFormat="1" ht="25.5" customHeight="1">
      <c r="A32" s="216">
        <v>27</v>
      </c>
      <c r="B32" s="63" t="s">
        <v>803</v>
      </c>
      <c r="C32" s="252">
        <f>E32-D32</f>
        <v>41.269999999999996</v>
      </c>
      <c r="D32" s="252">
        <v>121.21</v>
      </c>
      <c r="E32" s="1447">
        <v>162.47999999999999</v>
      </c>
    </row>
    <row r="33" spans="1:6" s="19" customFormat="1" ht="46.5" customHeight="1" thickBot="1">
      <c r="A33" s="2452" t="s">
        <v>705</v>
      </c>
      <c r="B33" s="2447"/>
      <c r="C33" s="2447"/>
      <c r="D33" s="2447"/>
      <c r="E33" s="2448"/>
    </row>
    <row r="34" spans="1:6" s="19" customFormat="1" ht="25.5" customHeight="1" thickTop="1" thickBot="1">
      <c r="A34" s="2446"/>
      <c r="B34" s="2447"/>
      <c r="C34" s="2447"/>
      <c r="D34" s="2447"/>
      <c r="E34" s="2448"/>
    </row>
    <row r="35" spans="1:6" ht="15.75" thickTop="1"/>
    <row r="38" spans="1:6">
      <c r="C38"/>
    </row>
    <row r="40" spans="1:6">
      <c r="F40" s="1"/>
    </row>
    <row r="174" spans="7:7">
      <c r="G174" s="1" t="s">
        <v>532</v>
      </c>
    </row>
  </sheetData>
  <mergeCells count="10">
    <mergeCell ref="A34:E34"/>
    <mergeCell ref="A1:E1"/>
    <mergeCell ref="A33:E33"/>
    <mergeCell ref="D3:E3"/>
    <mergeCell ref="A2:E2"/>
    <mergeCell ref="A4:A5"/>
    <mergeCell ref="E4:E5"/>
    <mergeCell ref="D4:D5"/>
    <mergeCell ref="C4:C5"/>
    <mergeCell ref="B4:B5"/>
  </mergeCells>
  <conditionalFormatting sqref="F6:XFD31">
    <cfRule type="expression" dxfId="18" priority="3">
      <formula>MOD(ROW(),3)=1</formula>
    </cfRule>
  </conditionalFormatting>
  <conditionalFormatting sqref="A6:E32">
    <cfRule type="expression" dxfId="17" priority="1">
      <formula>MOD(ROW(),3)=1</formula>
    </cfRule>
  </conditionalFormatting>
  <printOptions horizontalCentered="1"/>
  <pageMargins left="0.70866141732283505" right="0.70866141732283505" top="0.511811023622047" bottom="0.39370078740157499" header="0.31496062992126" footer="0.31496062992126"/>
  <pageSetup paperSize="9" scale="78" fitToWidth="0" fitToHeight="0" orientation="portrait" r:id="rId1"/>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67C2EF-3868-4879-888F-576CB6691F7B}">
  <sheetPr>
    <pageSetUpPr fitToPage="1"/>
  </sheetPr>
  <dimension ref="A1:S28"/>
  <sheetViews>
    <sheetView view="pageBreakPreview" zoomScaleSheetLayoutView="100" workbookViewId="0">
      <selection activeCell="S17" sqref="S17"/>
    </sheetView>
  </sheetViews>
  <sheetFormatPr defaultColWidth="9.140625" defaultRowHeight="12.75"/>
  <cols>
    <col min="1" max="1" width="22.140625" style="388" customWidth="1"/>
    <col min="2" max="2" width="17.5703125" style="385" customWidth="1"/>
    <col min="3" max="3" width="8.85546875" style="385" hidden="1" customWidth="1"/>
    <col min="4" max="4" width="7.5703125" style="385" hidden="1" customWidth="1"/>
    <col min="5" max="5" width="7.7109375" style="385" hidden="1" customWidth="1"/>
    <col min="6" max="6" width="9.7109375" style="385" hidden="1" customWidth="1"/>
    <col min="7" max="9" width="9.7109375" style="385" customWidth="1"/>
    <col min="10" max="10" width="9.7109375" style="387" customWidth="1"/>
    <col min="11" max="11" width="9.7109375" style="386" customWidth="1"/>
    <col min="12" max="17" width="9.7109375" style="385" customWidth="1"/>
    <col min="18" max="18" width="21.85546875" style="385" customWidth="1"/>
    <col min="19" max="19" width="11.5703125" style="385" customWidth="1"/>
    <col min="20" max="16384" width="9.140625" style="385"/>
  </cols>
  <sheetData>
    <row r="1" spans="1:19" s="389" customFormat="1" ht="34.5" customHeight="1" thickTop="1">
      <c r="A1" s="1868" t="s">
        <v>2592</v>
      </c>
      <c r="B1" s="1944"/>
      <c r="C1" s="1944"/>
      <c r="D1" s="1944"/>
      <c r="E1" s="1944"/>
      <c r="F1" s="1944"/>
      <c r="G1" s="1944"/>
      <c r="H1" s="1944"/>
      <c r="I1" s="1944"/>
      <c r="J1" s="1944"/>
      <c r="K1" s="1944"/>
      <c r="L1" s="1944"/>
      <c r="M1" s="1944"/>
      <c r="N1" s="1944"/>
      <c r="O1" s="1944"/>
      <c r="P1" s="1944"/>
      <c r="Q1" s="1944"/>
      <c r="R1" s="1944"/>
      <c r="S1" s="1945"/>
    </row>
    <row r="2" spans="1:19" s="389" customFormat="1" ht="21" customHeight="1">
      <c r="A2" s="403"/>
      <c r="B2" s="383"/>
      <c r="C2" s="33"/>
      <c r="D2" s="7"/>
      <c r="E2" s="7"/>
      <c r="F2" s="7"/>
      <c r="G2" s="7"/>
      <c r="H2" s="7"/>
      <c r="I2" s="7"/>
      <c r="J2" s="7"/>
      <c r="K2" s="7"/>
      <c r="L2" s="7"/>
      <c r="M2" s="1946" t="s">
        <v>832</v>
      </c>
      <c r="N2" s="1946"/>
      <c r="O2" s="1946"/>
      <c r="P2" s="1946"/>
      <c r="Q2" s="1946"/>
      <c r="R2" s="1946"/>
      <c r="S2" s="1947"/>
    </row>
    <row r="3" spans="1:19" s="93" customFormat="1" ht="36" customHeight="1">
      <c r="A3" s="1928" t="s">
        <v>831</v>
      </c>
      <c r="B3" s="1948"/>
      <c r="C3" s="80">
        <v>2008</v>
      </c>
      <c r="D3" s="80">
        <v>2009</v>
      </c>
      <c r="E3" s="80">
        <v>2010</v>
      </c>
      <c r="F3" s="80">
        <v>2011</v>
      </c>
      <c r="G3" s="80">
        <v>2012</v>
      </c>
      <c r="H3" s="80">
        <v>2013</v>
      </c>
      <c r="I3" s="80">
        <v>2014</v>
      </c>
      <c r="J3" s="80">
        <v>2015</v>
      </c>
      <c r="K3" s="80">
        <v>2016</v>
      </c>
      <c r="L3" s="80">
        <v>2017</v>
      </c>
      <c r="M3" s="80">
        <v>2018</v>
      </c>
      <c r="N3" s="80">
        <v>2019</v>
      </c>
      <c r="O3" s="80">
        <v>2020</v>
      </c>
      <c r="P3" s="1125">
        <v>2021</v>
      </c>
      <c r="Q3" s="1125">
        <v>2022</v>
      </c>
      <c r="R3" s="1907" t="s">
        <v>830</v>
      </c>
      <c r="S3" s="1949"/>
    </row>
    <row r="4" spans="1:19" s="389" customFormat="1" ht="18" customHeight="1">
      <c r="A4" s="402" t="s">
        <v>829</v>
      </c>
      <c r="B4" s="401"/>
      <c r="C4" s="400"/>
      <c r="D4" s="400"/>
      <c r="E4" s="400"/>
      <c r="F4" s="400"/>
      <c r="G4" s="400"/>
      <c r="H4" s="400"/>
      <c r="I4" s="400"/>
      <c r="J4" s="400"/>
      <c r="K4" s="400"/>
      <c r="L4" s="400"/>
      <c r="M4" s="400"/>
      <c r="N4" s="400"/>
      <c r="O4" s="400"/>
      <c r="P4" s="400"/>
      <c r="Q4" s="400"/>
      <c r="R4" s="399" t="s">
        <v>828</v>
      </c>
      <c r="S4" s="398"/>
    </row>
    <row r="5" spans="1:19" s="389" customFormat="1" ht="18" customHeight="1">
      <c r="A5" s="1938" t="s">
        <v>827</v>
      </c>
      <c r="B5" s="394" t="s">
        <v>818</v>
      </c>
      <c r="C5" s="5">
        <v>4614</v>
      </c>
      <c r="D5" s="5">
        <v>4614</v>
      </c>
      <c r="E5" s="5">
        <v>4614</v>
      </c>
      <c r="F5" s="397">
        <v>4614</v>
      </c>
      <c r="G5" s="397">
        <v>4614</v>
      </c>
      <c r="H5" s="397">
        <v>4614</v>
      </c>
      <c r="I5" s="397">
        <v>4614</v>
      </c>
      <c r="J5" s="397">
        <v>4614</v>
      </c>
      <c r="K5" s="397">
        <v>4614</v>
      </c>
      <c r="L5" s="397">
        <v>4614</v>
      </c>
      <c r="M5" s="396">
        <v>4648.87</v>
      </c>
      <c r="N5" s="396">
        <v>4667.75</v>
      </c>
      <c r="O5" s="396">
        <v>4668</v>
      </c>
      <c r="P5" s="396">
        <v>4668</v>
      </c>
      <c r="Q5" s="396">
        <v>4668</v>
      </c>
      <c r="R5" s="1941" t="s">
        <v>826</v>
      </c>
      <c r="S5" s="1196" t="s">
        <v>816</v>
      </c>
    </row>
    <row r="6" spans="1:19" s="389" customFormat="1" ht="18" customHeight="1">
      <c r="A6" s="1938"/>
      <c r="B6" s="394" t="s">
        <v>815</v>
      </c>
      <c r="C6" s="5">
        <v>699</v>
      </c>
      <c r="D6" s="5">
        <v>699</v>
      </c>
      <c r="E6" s="5">
        <v>699</v>
      </c>
      <c r="F6" s="397">
        <v>699</v>
      </c>
      <c r="G6" s="397">
        <v>699</v>
      </c>
      <c r="H6" s="397">
        <v>699</v>
      </c>
      <c r="I6" s="397">
        <v>699</v>
      </c>
      <c r="J6" s="397">
        <v>699</v>
      </c>
      <c r="K6" s="397">
        <v>699</v>
      </c>
      <c r="L6" s="397">
        <v>699</v>
      </c>
      <c r="M6" s="396">
        <v>664.18999999999994</v>
      </c>
      <c r="N6" s="396">
        <v>645.30999999999995</v>
      </c>
      <c r="O6" s="396">
        <v>645</v>
      </c>
      <c r="P6" s="396">
        <v>645</v>
      </c>
      <c r="Q6" s="396">
        <v>645</v>
      </c>
      <c r="R6" s="1941"/>
      <c r="S6" s="1196" t="s">
        <v>814</v>
      </c>
    </row>
    <row r="7" spans="1:19" s="389" customFormat="1" ht="18" customHeight="1">
      <c r="A7" s="1938"/>
      <c r="B7" s="394" t="s">
        <v>813</v>
      </c>
      <c r="C7" s="5">
        <v>0</v>
      </c>
      <c r="D7" s="5">
        <v>0</v>
      </c>
      <c r="E7" s="5">
        <v>0</v>
      </c>
      <c r="F7" s="397">
        <v>0</v>
      </c>
      <c r="G7" s="397">
        <v>0</v>
      </c>
      <c r="H7" s="397">
        <v>0</v>
      </c>
      <c r="I7" s="397">
        <v>0</v>
      </c>
      <c r="J7" s="397">
        <v>0</v>
      </c>
      <c r="K7" s="397">
        <v>0</v>
      </c>
      <c r="L7" s="397">
        <v>0</v>
      </c>
      <c r="M7" s="396">
        <v>0</v>
      </c>
      <c r="N7" s="396">
        <v>0</v>
      </c>
      <c r="O7" s="396">
        <v>0</v>
      </c>
      <c r="P7" s="396">
        <v>0</v>
      </c>
      <c r="Q7" s="396">
        <v>0</v>
      </c>
      <c r="R7" s="1941"/>
      <c r="S7" s="1196" t="s">
        <v>812</v>
      </c>
    </row>
    <row r="8" spans="1:19" s="389" customFormat="1" ht="18" customHeight="1">
      <c r="A8" s="1939"/>
      <c r="B8" s="394" t="s">
        <v>143</v>
      </c>
      <c r="C8" s="30">
        <v>5313</v>
      </c>
      <c r="D8" s="30">
        <v>5313</v>
      </c>
      <c r="E8" s="30">
        <v>5313</v>
      </c>
      <c r="F8" s="264">
        <v>5313</v>
      </c>
      <c r="G8" s="264">
        <v>5313</v>
      </c>
      <c r="H8" s="264">
        <v>5313</v>
      </c>
      <c r="I8" s="264">
        <v>5313</v>
      </c>
      <c r="J8" s="264">
        <v>5313</v>
      </c>
      <c r="K8" s="264">
        <v>5313</v>
      </c>
      <c r="L8" s="264">
        <v>5313</v>
      </c>
      <c r="M8" s="264">
        <v>5313.0599999999995</v>
      </c>
      <c r="N8" s="395">
        <f>SUM(N5:N7)</f>
        <v>5313.0599999999995</v>
      </c>
      <c r="O8" s="395">
        <f>SUM(O5:O7)</f>
        <v>5313</v>
      </c>
      <c r="P8" s="395">
        <f>SUM(P5:P7)</f>
        <v>5313</v>
      </c>
      <c r="Q8" s="395">
        <f>SUM(Q5:Q7)</f>
        <v>5313</v>
      </c>
      <c r="R8" s="1942"/>
      <c r="S8" s="1196" t="s">
        <v>0</v>
      </c>
    </row>
    <row r="9" spans="1:19" s="389" customFormat="1" ht="18" customHeight="1">
      <c r="A9" s="1937" t="s">
        <v>825</v>
      </c>
      <c r="B9" s="394" t="s">
        <v>818</v>
      </c>
      <c r="C9" s="5">
        <v>12308</v>
      </c>
      <c r="D9" s="5">
        <v>12448</v>
      </c>
      <c r="E9" s="5">
        <v>12573</v>
      </c>
      <c r="F9" s="397">
        <v>12573</v>
      </c>
      <c r="G9" s="397">
        <v>12837</v>
      </c>
      <c r="H9" s="397">
        <v>13269</v>
      </c>
      <c r="I9" s="397">
        <v>13303</v>
      </c>
      <c r="J9" s="397">
        <v>13389</v>
      </c>
      <c r="K9" s="397">
        <v>13389</v>
      </c>
      <c r="L9" s="397">
        <v>13501</v>
      </c>
      <c r="M9" s="396">
        <v>13913.650000000001</v>
      </c>
      <c r="N9" s="396">
        <v>14875.550000000001</v>
      </c>
      <c r="O9" s="396">
        <v>14876</v>
      </c>
      <c r="P9" s="396">
        <v>14972</v>
      </c>
      <c r="Q9" s="396">
        <v>14972</v>
      </c>
      <c r="R9" s="1940" t="s">
        <v>824</v>
      </c>
      <c r="S9" s="1196" t="s">
        <v>816</v>
      </c>
    </row>
    <row r="10" spans="1:19" s="389" customFormat="1" ht="18" customHeight="1">
      <c r="A10" s="1938"/>
      <c r="B10" s="394" t="s">
        <v>815</v>
      </c>
      <c r="C10" s="5">
        <v>12136</v>
      </c>
      <c r="D10" s="5">
        <v>12064</v>
      </c>
      <c r="E10" s="5">
        <v>11940</v>
      </c>
      <c r="F10" s="397">
        <v>12001</v>
      </c>
      <c r="G10" s="397">
        <v>11951</v>
      </c>
      <c r="H10" s="397">
        <v>11893</v>
      </c>
      <c r="I10" s="397">
        <v>11867</v>
      </c>
      <c r="J10" s="397">
        <v>12114</v>
      </c>
      <c r="K10" s="397">
        <v>12114</v>
      </c>
      <c r="L10" s="397">
        <v>12133</v>
      </c>
      <c r="M10" s="396">
        <v>11708.760000000002</v>
      </c>
      <c r="N10" s="396">
        <v>11245.130000000001</v>
      </c>
      <c r="O10" s="396">
        <v>11245</v>
      </c>
      <c r="P10" s="396">
        <v>11245</v>
      </c>
      <c r="Q10" s="396">
        <v>11245</v>
      </c>
      <c r="R10" s="1941"/>
      <c r="S10" s="1196" t="s">
        <v>814</v>
      </c>
    </row>
    <row r="11" spans="1:19" s="389" customFormat="1" ht="18" customHeight="1">
      <c r="A11" s="1938"/>
      <c r="B11" s="394" t="s">
        <v>813</v>
      </c>
      <c r="C11" s="5">
        <v>1880</v>
      </c>
      <c r="D11" s="5">
        <v>1880</v>
      </c>
      <c r="E11" s="5">
        <v>1880</v>
      </c>
      <c r="F11" s="397">
        <v>1880</v>
      </c>
      <c r="G11" s="397">
        <v>1800</v>
      </c>
      <c r="H11" s="397">
        <v>1879</v>
      </c>
      <c r="I11" s="397">
        <v>1879</v>
      </c>
      <c r="J11" s="397">
        <v>1879</v>
      </c>
      <c r="K11" s="397">
        <v>1879</v>
      </c>
      <c r="L11" s="397">
        <v>1879</v>
      </c>
      <c r="M11" s="396">
        <v>1879.4699999999998</v>
      </c>
      <c r="N11" s="396">
        <v>1862.8599999999997</v>
      </c>
      <c r="O11" s="396">
        <v>1863</v>
      </c>
      <c r="P11" s="396">
        <v>1863</v>
      </c>
      <c r="Q11" s="396">
        <v>1863</v>
      </c>
      <c r="R11" s="1941"/>
      <c r="S11" s="1196" t="s">
        <v>812</v>
      </c>
    </row>
    <row r="12" spans="1:19" s="389" customFormat="1" ht="18" customHeight="1">
      <c r="A12" s="1939"/>
      <c r="B12" s="394" t="s">
        <v>143</v>
      </c>
      <c r="C12" s="30">
        <v>26324</v>
      </c>
      <c r="D12" s="30">
        <v>26393</v>
      </c>
      <c r="E12" s="30">
        <v>26393</v>
      </c>
      <c r="F12" s="264">
        <v>26454</v>
      </c>
      <c r="G12" s="264">
        <v>26669</v>
      </c>
      <c r="H12" s="264">
        <v>27041</v>
      </c>
      <c r="I12" s="264">
        <v>27049</v>
      </c>
      <c r="J12" s="264">
        <v>27382</v>
      </c>
      <c r="K12" s="264">
        <v>27382</v>
      </c>
      <c r="L12" s="264">
        <f>SUM(L9:L11)</f>
        <v>27513</v>
      </c>
      <c r="M12" s="264">
        <v>27501.880000000005</v>
      </c>
      <c r="N12" s="395">
        <f>SUM(N9:N11)</f>
        <v>27983.54</v>
      </c>
      <c r="O12" s="395">
        <f>SUM(O9:O11)</f>
        <v>27984</v>
      </c>
      <c r="P12" s="395">
        <f>SUM(P9:P11)</f>
        <v>28080</v>
      </c>
      <c r="Q12" s="395">
        <f>SUM(Q9:Q11)</f>
        <v>28080</v>
      </c>
      <c r="R12" s="1942"/>
      <c r="S12" s="1196" t="s">
        <v>0</v>
      </c>
    </row>
    <row r="13" spans="1:19" s="389" customFormat="1" ht="18" customHeight="1">
      <c r="A13" s="1937" t="s">
        <v>823</v>
      </c>
      <c r="B13" s="394" t="s">
        <v>818</v>
      </c>
      <c r="C13" s="5">
        <v>482</v>
      </c>
      <c r="D13" s="5">
        <v>482</v>
      </c>
      <c r="E13" s="5">
        <v>482</v>
      </c>
      <c r="F13" s="397">
        <v>482</v>
      </c>
      <c r="G13" s="397">
        <v>482</v>
      </c>
      <c r="H13" s="397">
        <v>482</v>
      </c>
      <c r="I13" s="397">
        <v>482</v>
      </c>
      <c r="J13" s="397">
        <v>482</v>
      </c>
      <c r="K13" s="397">
        <v>482</v>
      </c>
      <c r="L13" s="397">
        <v>519</v>
      </c>
      <c r="M13" s="396">
        <v>519.43999999999994</v>
      </c>
      <c r="N13" s="396">
        <v>519.43999999999994</v>
      </c>
      <c r="O13" s="396">
        <v>519</v>
      </c>
      <c r="P13" s="396">
        <v>530</v>
      </c>
      <c r="Q13" s="396">
        <v>530</v>
      </c>
      <c r="R13" s="1940" t="s">
        <v>822</v>
      </c>
      <c r="S13" s="1196" t="s">
        <v>816</v>
      </c>
    </row>
    <row r="14" spans="1:19" s="389" customFormat="1" ht="18" customHeight="1">
      <c r="A14" s="1938"/>
      <c r="B14" s="394" t="s">
        <v>815</v>
      </c>
      <c r="C14" s="5">
        <v>1003</v>
      </c>
      <c r="D14" s="5">
        <v>1003</v>
      </c>
      <c r="E14" s="5">
        <v>1003</v>
      </c>
      <c r="F14" s="397">
        <v>1003</v>
      </c>
      <c r="G14" s="397">
        <v>1003</v>
      </c>
      <c r="H14" s="397">
        <v>1003</v>
      </c>
      <c r="I14" s="397">
        <v>1004</v>
      </c>
      <c r="J14" s="397">
        <v>1004</v>
      </c>
      <c r="K14" s="397">
        <v>1004</v>
      </c>
      <c r="L14" s="397">
        <v>995</v>
      </c>
      <c r="M14" s="396">
        <v>994.87</v>
      </c>
      <c r="N14" s="396">
        <v>994.87</v>
      </c>
      <c r="O14" s="396">
        <v>995</v>
      </c>
      <c r="P14" s="396">
        <v>992</v>
      </c>
      <c r="Q14" s="396">
        <v>992</v>
      </c>
      <c r="R14" s="1941"/>
      <c r="S14" s="1196" t="s">
        <v>814</v>
      </c>
    </row>
    <row r="15" spans="1:19" s="389" customFormat="1" ht="18" customHeight="1">
      <c r="A15" s="1938"/>
      <c r="B15" s="394" t="s">
        <v>813</v>
      </c>
      <c r="C15" s="5">
        <v>222</v>
      </c>
      <c r="D15" s="5">
        <v>222</v>
      </c>
      <c r="E15" s="5">
        <v>222</v>
      </c>
      <c r="F15" s="397">
        <v>222</v>
      </c>
      <c r="G15" s="397">
        <v>222</v>
      </c>
      <c r="H15" s="397">
        <v>222</v>
      </c>
      <c r="I15" s="397">
        <v>222</v>
      </c>
      <c r="J15" s="397">
        <v>222</v>
      </c>
      <c r="K15" s="397">
        <v>222</v>
      </c>
      <c r="L15" s="397">
        <v>193</v>
      </c>
      <c r="M15" s="396">
        <v>193.20999999999998</v>
      </c>
      <c r="N15" s="396">
        <v>193.20999999999998</v>
      </c>
      <c r="O15" s="396">
        <v>193</v>
      </c>
      <c r="P15" s="396">
        <v>186</v>
      </c>
      <c r="Q15" s="396">
        <v>186</v>
      </c>
      <c r="R15" s="1941"/>
      <c r="S15" s="1196" t="s">
        <v>812</v>
      </c>
    </row>
    <row r="16" spans="1:19" s="389" customFormat="1" ht="18" customHeight="1">
      <c r="A16" s="1939"/>
      <c r="B16" s="394" t="s">
        <v>143</v>
      </c>
      <c r="C16" s="30">
        <v>1707</v>
      </c>
      <c r="D16" s="30">
        <v>1707</v>
      </c>
      <c r="E16" s="30">
        <v>1707</v>
      </c>
      <c r="F16" s="264">
        <v>1707</v>
      </c>
      <c r="G16" s="264">
        <v>1707</v>
      </c>
      <c r="H16" s="264">
        <v>1707</v>
      </c>
      <c r="I16" s="264">
        <v>1708</v>
      </c>
      <c r="J16" s="264">
        <v>1708</v>
      </c>
      <c r="K16" s="264">
        <v>1708</v>
      </c>
      <c r="L16" s="264">
        <f>SUM(L13:L15)+1</f>
        <v>1708</v>
      </c>
      <c r="M16" s="264">
        <v>1707.52</v>
      </c>
      <c r="N16" s="395">
        <f>SUM(N13:N15)</f>
        <v>1707.52</v>
      </c>
      <c r="O16" s="395">
        <f>SUM(O13:O15)</f>
        <v>1707</v>
      </c>
      <c r="P16" s="395">
        <f>SUM(P13:P15)</f>
        <v>1708</v>
      </c>
      <c r="Q16" s="395">
        <f>SUM(Q13:Q15)</f>
        <v>1708</v>
      </c>
      <c r="R16" s="1942"/>
      <c r="S16" s="1196" t="s">
        <v>0</v>
      </c>
    </row>
    <row r="17" spans="1:19" s="389" customFormat="1" ht="18" customHeight="1">
      <c r="A17" s="1930" t="s">
        <v>821</v>
      </c>
      <c r="B17" s="394" t="s">
        <v>818</v>
      </c>
      <c r="C17" s="5">
        <v>84425</v>
      </c>
      <c r="D17" s="5">
        <v>88175</v>
      </c>
      <c r="E17" s="5">
        <v>92129</v>
      </c>
      <c r="F17" s="397">
        <v>96333</v>
      </c>
      <c r="G17" s="397">
        <v>100211</v>
      </c>
      <c r="H17" s="397">
        <v>104816</v>
      </c>
      <c r="I17" s="397">
        <v>107509</v>
      </c>
      <c r="J17" s="397">
        <v>113129</v>
      </c>
      <c r="K17" s="397">
        <v>119602</v>
      </c>
      <c r="L17" s="397">
        <v>124423</v>
      </c>
      <c r="M17" s="396">
        <v>129705.47</v>
      </c>
      <c r="N17" s="396">
        <v>135551.66999999998</v>
      </c>
      <c r="O17" s="396">
        <v>143398</v>
      </c>
      <c r="P17" s="396">
        <v>157010</v>
      </c>
      <c r="Q17" s="396">
        <v>156416.09999999998</v>
      </c>
      <c r="R17" s="1943" t="s">
        <v>820</v>
      </c>
      <c r="S17" s="1196" t="s">
        <v>816</v>
      </c>
    </row>
    <row r="18" spans="1:19" s="389" customFormat="1" ht="18" customHeight="1">
      <c r="A18" s="1930"/>
      <c r="B18" s="394" t="s">
        <v>815</v>
      </c>
      <c r="C18" s="5">
        <v>110378</v>
      </c>
      <c r="D18" s="5">
        <v>109804</v>
      </c>
      <c r="E18" s="5">
        <v>117012</v>
      </c>
      <c r="F18" s="397">
        <v>123768</v>
      </c>
      <c r="G18" s="397">
        <v>128515</v>
      </c>
      <c r="H18" s="397">
        <v>129037</v>
      </c>
      <c r="I18" s="397">
        <v>128937</v>
      </c>
      <c r="J18" s="397">
        <v>129425</v>
      </c>
      <c r="K18" s="397">
        <v>125335</v>
      </c>
      <c r="L18" s="397">
        <v>125485</v>
      </c>
      <c r="M18" s="396">
        <v>125796.32000000002</v>
      </c>
      <c r="N18" s="396">
        <v>127615.22000000002</v>
      </c>
      <c r="O18" s="396">
        <v>137507</v>
      </c>
      <c r="P18" s="396">
        <v>134067</v>
      </c>
      <c r="Q18" s="396">
        <v>133945.92000000001</v>
      </c>
      <c r="R18" s="1943"/>
      <c r="S18" s="1196" t="s">
        <v>814</v>
      </c>
    </row>
    <row r="19" spans="1:19" s="389" customFormat="1" ht="18" customHeight="1">
      <c r="A19" s="1930"/>
      <c r="B19" s="394" t="s">
        <v>813</v>
      </c>
      <c r="C19" s="5">
        <v>36388</v>
      </c>
      <c r="D19" s="5">
        <v>35819</v>
      </c>
      <c r="E19" s="5">
        <v>34257</v>
      </c>
      <c r="F19" s="397">
        <v>32287</v>
      </c>
      <c r="G19" s="397">
        <v>31082</v>
      </c>
      <c r="H19" s="397">
        <v>30999</v>
      </c>
      <c r="I19" s="397">
        <v>31047</v>
      </c>
      <c r="J19" s="397">
        <v>29638</v>
      </c>
      <c r="K19" s="397">
        <v>29462</v>
      </c>
      <c r="L19" s="397">
        <v>30706</v>
      </c>
      <c r="M19" s="396">
        <v>28996.079999999998</v>
      </c>
      <c r="N19" s="396">
        <v>28324.620000000003</v>
      </c>
      <c r="O19" s="396">
        <v>28112</v>
      </c>
      <c r="P19" s="396">
        <v>25949</v>
      </c>
      <c r="Q19" s="396">
        <v>25040.13</v>
      </c>
      <c r="R19" s="1943"/>
      <c r="S19" s="1196" t="s">
        <v>812</v>
      </c>
    </row>
    <row r="20" spans="1:19" s="389" customFormat="1" ht="18" customHeight="1">
      <c r="A20" s="1930"/>
      <c r="B20" s="394" t="s">
        <v>143</v>
      </c>
      <c r="C20" s="30">
        <v>231191</v>
      </c>
      <c r="D20" s="30">
        <v>233798</v>
      </c>
      <c r="E20" s="30">
        <v>243398</v>
      </c>
      <c r="F20" s="264">
        <v>252388</v>
      </c>
      <c r="G20" s="264">
        <v>259808</v>
      </c>
      <c r="H20" s="264">
        <v>264852</v>
      </c>
      <c r="I20" s="264">
        <v>267494</v>
      </c>
      <c r="J20" s="264">
        <v>272192</v>
      </c>
      <c r="K20" s="264">
        <v>274398</v>
      </c>
      <c r="L20" s="264">
        <v>280615</v>
      </c>
      <c r="M20" s="264">
        <v>284497.87000000005</v>
      </c>
      <c r="N20" s="395">
        <f>SUM(N17:N19)+1</f>
        <v>291492.51</v>
      </c>
      <c r="O20" s="395">
        <f>SUM(O17:O19)</f>
        <v>309017</v>
      </c>
      <c r="P20" s="395">
        <f>SUM(P17:P19)</f>
        <v>317026</v>
      </c>
      <c r="Q20" s="395">
        <f>SUM(Q17:Q19)</f>
        <v>315402.15000000002</v>
      </c>
      <c r="R20" s="1943"/>
      <c r="S20" s="1196" t="s">
        <v>0</v>
      </c>
    </row>
    <row r="21" spans="1:19" s="389" customFormat="1" ht="18" customHeight="1">
      <c r="A21" s="1930" t="s">
        <v>819</v>
      </c>
      <c r="B21" s="394" t="s">
        <v>818</v>
      </c>
      <c r="C21" s="30">
        <v>101829</v>
      </c>
      <c r="D21" s="30">
        <v>105720</v>
      </c>
      <c r="E21" s="30">
        <v>109798</v>
      </c>
      <c r="F21" s="264">
        <v>114002</v>
      </c>
      <c r="G21" s="264">
        <v>118145</v>
      </c>
      <c r="H21" s="264">
        <v>123182</v>
      </c>
      <c r="I21" s="264">
        <v>125909</v>
      </c>
      <c r="J21" s="264">
        <v>131614</v>
      </c>
      <c r="K21" s="264">
        <v>138087</v>
      </c>
      <c r="L21" s="264">
        <v>143058</v>
      </c>
      <c r="M21" s="395">
        <f t="shared" ref="M21:Q23" si="0">M17+M13+M9+M5</f>
        <v>148787.43</v>
      </c>
      <c r="N21" s="395">
        <f t="shared" si="0"/>
        <v>155614.40999999997</v>
      </c>
      <c r="O21" s="395">
        <f t="shared" si="0"/>
        <v>163461</v>
      </c>
      <c r="P21" s="395">
        <f t="shared" si="0"/>
        <v>177180</v>
      </c>
      <c r="Q21" s="395">
        <f t="shared" si="0"/>
        <v>176586.09999999998</v>
      </c>
      <c r="R21" s="1931" t="s">
        <v>817</v>
      </c>
      <c r="S21" s="1196" t="s">
        <v>816</v>
      </c>
    </row>
    <row r="22" spans="1:19" s="389" customFormat="1" ht="18" customHeight="1">
      <c r="A22" s="1930"/>
      <c r="B22" s="394" t="s">
        <v>815</v>
      </c>
      <c r="C22" s="30">
        <v>124216</v>
      </c>
      <c r="D22" s="30">
        <v>123570</v>
      </c>
      <c r="E22" s="30">
        <v>130654</v>
      </c>
      <c r="F22" s="264">
        <v>137471</v>
      </c>
      <c r="G22" s="264">
        <v>142169</v>
      </c>
      <c r="H22" s="264">
        <v>142632</v>
      </c>
      <c r="I22" s="264">
        <v>142506</v>
      </c>
      <c r="J22" s="264">
        <v>143241</v>
      </c>
      <c r="K22" s="264">
        <v>139151</v>
      </c>
      <c r="L22" s="264">
        <v>139311</v>
      </c>
      <c r="M22" s="395">
        <f t="shared" si="0"/>
        <v>139164.14000000001</v>
      </c>
      <c r="N22" s="395">
        <f t="shared" si="0"/>
        <v>140500.53</v>
      </c>
      <c r="O22" s="395">
        <f t="shared" si="0"/>
        <v>150392</v>
      </c>
      <c r="P22" s="395">
        <f t="shared" si="0"/>
        <v>146949</v>
      </c>
      <c r="Q22" s="395">
        <f t="shared" si="0"/>
        <v>146827.92000000001</v>
      </c>
      <c r="R22" s="1932"/>
      <c r="S22" s="1196" t="s">
        <v>814</v>
      </c>
    </row>
    <row r="23" spans="1:19" s="389" customFormat="1" ht="18" customHeight="1">
      <c r="A23" s="1930"/>
      <c r="B23" s="394" t="s">
        <v>813</v>
      </c>
      <c r="C23" s="30">
        <v>38490</v>
      </c>
      <c r="D23" s="30">
        <v>37921</v>
      </c>
      <c r="E23" s="30">
        <v>36359</v>
      </c>
      <c r="F23" s="264">
        <v>34389</v>
      </c>
      <c r="G23" s="264">
        <v>33183</v>
      </c>
      <c r="H23" s="264">
        <v>33100</v>
      </c>
      <c r="I23" s="264">
        <v>33148</v>
      </c>
      <c r="J23" s="264">
        <v>31739</v>
      </c>
      <c r="K23" s="264">
        <v>31563</v>
      </c>
      <c r="L23" s="264">
        <v>32778</v>
      </c>
      <c r="M23" s="395">
        <f t="shared" si="0"/>
        <v>31068.76</v>
      </c>
      <c r="N23" s="395">
        <f t="shared" si="0"/>
        <v>30380.690000000002</v>
      </c>
      <c r="O23" s="395">
        <f t="shared" si="0"/>
        <v>30168</v>
      </c>
      <c r="P23" s="395">
        <f t="shared" si="0"/>
        <v>27998</v>
      </c>
      <c r="Q23" s="395">
        <f t="shared" si="0"/>
        <v>27089.13</v>
      </c>
      <c r="R23" s="1932"/>
      <c r="S23" s="1196" t="s">
        <v>812</v>
      </c>
    </row>
    <row r="24" spans="1:19" s="389" customFormat="1" ht="18" customHeight="1">
      <c r="A24" s="1930"/>
      <c r="B24" s="394" t="s">
        <v>143</v>
      </c>
      <c r="C24" s="30">
        <v>264535</v>
      </c>
      <c r="D24" s="30">
        <v>267211</v>
      </c>
      <c r="E24" s="30">
        <v>276811</v>
      </c>
      <c r="F24" s="264">
        <v>285862</v>
      </c>
      <c r="G24" s="264">
        <v>293497</v>
      </c>
      <c r="H24" s="264">
        <v>298914</v>
      </c>
      <c r="I24" s="264">
        <v>301564</v>
      </c>
      <c r="J24" s="264">
        <v>306596</v>
      </c>
      <c r="K24" s="264">
        <v>308802</v>
      </c>
      <c r="L24" s="264">
        <f t="shared" ref="L24:Q24" si="1">SUM(L21:L23)</f>
        <v>315147</v>
      </c>
      <c r="M24" s="395">
        <f t="shared" si="1"/>
        <v>319020.33</v>
      </c>
      <c r="N24" s="395">
        <f t="shared" si="1"/>
        <v>326495.62999999995</v>
      </c>
      <c r="O24" s="395">
        <f t="shared" si="1"/>
        <v>344021</v>
      </c>
      <c r="P24" s="395">
        <f t="shared" si="1"/>
        <v>352127</v>
      </c>
      <c r="Q24" s="395">
        <f t="shared" si="1"/>
        <v>350503.15</v>
      </c>
      <c r="R24" s="1933"/>
      <c r="S24" s="1196" t="s">
        <v>0</v>
      </c>
    </row>
    <row r="25" spans="1:19" s="389" customFormat="1" ht="18" customHeight="1">
      <c r="A25" s="393"/>
      <c r="B25" s="33"/>
      <c r="C25" s="33"/>
      <c r="D25" s="33"/>
      <c r="E25" s="33"/>
      <c r="F25" s="33"/>
      <c r="G25" s="33"/>
      <c r="H25" s="33"/>
      <c r="I25" s="33"/>
      <c r="J25" s="33"/>
      <c r="K25" s="33"/>
      <c r="L25" s="33"/>
      <c r="M25" s="1197"/>
      <c r="N25" s="1197"/>
      <c r="O25" s="1197"/>
      <c r="P25" s="1197"/>
      <c r="Q25" s="1197"/>
      <c r="R25" s="1198"/>
      <c r="S25" s="392"/>
    </row>
    <row r="26" spans="1:19" s="389" customFormat="1" ht="18" customHeight="1">
      <c r="A26" s="391" t="s">
        <v>811</v>
      </c>
      <c r="B26" s="383"/>
      <c r="C26" s="383"/>
      <c r="D26" s="383"/>
      <c r="E26" s="383"/>
      <c r="F26" s="383"/>
      <c r="G26" s="383"/>
      <c r="H26" s="7"/>
      <c r="I26" s="7"/>
      <c r="J26" s="7"/>
      <c r="K26" s="7"/>
      <c r="L26" s="7"/>
      <c r="M26" s="7"/>
      <c r="N26" s="7"/>
      <c r="O26" s="7"/>
      <c r="P26" s="7"/>
      <c r="Q26" s="7"/>
      <c r="R26" s="53"/>
      <c r="S26" s="390"/>
    </row>
    <row r="27" spans="1:19" ht="63" customHeight="1" thickBot="1">
      <c r="A27" s="1934" t="s">
        <v>810</v>
      </c>
      <c r="B27" s="1935"/>
      <c r="C27" s="1935"/>
      <c r="D27" s="1935"/>
      <c r="E27" s="1935"/>
      <c r="F27" s="1935"/>
      <c r="G27" s="1935"/>
      <c r="H27" s="1935"/>
      <c r="I27" s="1935"/>
      <c r="J27" s="1935"/>
      <c r="K27" s="1935"/>
      <c r="L27" s="1935"/>
      <c r="M27" s="1935"/>
      <c r="N27" s="1935"/>
      <c r="O27" s="1935"/>
      <c r="P27" s="1935"/>
      <c r="Q27" s="1935"/>
      <c r="R27" s="1935"/>
      <c r="S27" s="1936"/>
    </row>
    <row r="28" spans="1:19" ht="13.5" thickTop="1"/>
  </sheetData>
  <mergeCells count="15">
    <mergeCell ref="A1:S1"/>
    <mergeCell ref="M2:S2"/>
    <mergeCell ref="A3:B3"/>
    <mergeCell ref="R3:S3"/>
    <mergeCell ref="A5:A8"/>
    <mergeCell ref="R5:R8"/>
    <mergeCell ref="A21:A24"/>
    <mergeCell ref="R21:R24"/>
    <mergeCell ref="A27:S27"/>
    <mergeCell ref="A9:A12"/>
    <mergeCell ref="R9:R12"/>
    <mergeCell ref="A13:A16"/>
    <mergeCell ref="R13:R16"/>
    <mergeCell ref="A17:A20"/>
    <mergeCell ref="R17:R20"/>
  </mergeCells>
  <conditionalFormatting sqref="A4:XFD24">
    <cfRule type="expression" dxfId="104" priority="1">
      <formula>MOD(ROW(),3)=1</formula>
    </cfRule>
  </conditionalFormatting>
  <printOptions horizontalCentered="1"/>
  <pageMargins left="0.23622047244094491" right="0.23622047244094491" top="0.74803149606299213" bottom="0.74803149606299213" header="0.31496062992125984" footer="0.31496062992125984"/>
  <pageSetup paperSize="9" scale="79" fitToHeight="0" pageOrder="overThenDown" orientation="landscape" r:id="rId1"/>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C173"/>
  <sheetViews>
    <sheetView view="pageBreakPreview" zoomScale="60" zoomScaleNormal="100" workbookViewId="0">
      <selection activeCell="S17" sqref="S17"/>
    </sheetView>
  </sheetViews>
  <sheetFormatPr defaultColWidth="9.140625" defaultRowHeight="15"/>
  <cols>
    <col min="1" max="1" width="9.7109375" style="1" customWidth="1"/>
    <col min="2" max="2" width="19.42578125" style="1" customWidth="1"/>
    <col min="3" max="11" width="11.7109375" style="1" hidden="1" customWidth="1"/>
    <col min="12" max="12" width="12.7109375" style="1" hidden="1" customWidth="1"/>
    <col min="13" max="13" width="12.42578125" style="1" bestFit="1" customWidth="1"/>
    <col min="14" max="14" width="13.85546875" style="1" customWidth="1"/>
    <col min="15" max="19" width="11.7109375" style="1" customWidth="1"/>
    <col min="20" max="20" width="23.42578125" style="1" customWidth="1"/>
    <col min="21" max="16384" width="9.140625" style="1"/>
  </cols>
  <sheetData>
    <row r="1" spans="1:55" s="7" customFormat="1" ht="32.25" customHeight="1" thickTop="1">
      <c r="A1" s="2472" t="s">
        <v>2815</v>
      </c>
      <c r="B1" s="2473"/>
      <c r="C1" s="2473"/>
      <c r="D1" s="2473"/>
      <c r="E1" s="2473"/>
      <c r="F1" s="2473"/>
      <c r="G1" s="2473"/>
      <c r="H1" s="2473"/>
      <c r="I1" s="2473"/>
      <c r="J1" s="2473"/>
      <c r="K1" s="2473"/>
      <c r="L1" s="2473"/>
      <c r="M1" s="2473"/>
      <c r="N1" s="2473"/>
      <c r="O1" s="2473"/>
      <c r="P1" s="2473"/>
      <c r="Q1" s="2473"/>
      <c r="R1" s="2473"/>
      <c r="S1" s="2473"/>
      <c r="T1" s="2474"/>
    </row>
    <row r="2" spans="1:55" s="7" customFormat="1" ht="32.25" customHeight="1">
      <c r="A2" s="2475" t="s">
        <v>2816</v>
      </c>
      <c r="B2" s="2476"/>
      <c r="C2" s="2476"/>
      <c r="D2" s="2476"/>
      <c r="E2" s="2476"/>
      <c r="F2" s="2476"/>
      <c r="G2" s="2476"/>
      <c r="H2" s="2476"/>
      <c r="I2" s="2476"/>
      <c r="J2" s="2476"/>
      <c r="K2" s="2476"/>
      <c r="L2" s="2476"/>
      <c r="M2" s="2476"/>
      <c r="N2" s="2476"/>
      <c r="O2" s="2476"/>
      <c r="P2" s="2476"/>
      <c r="Q2" s="2476"/>
      <c r="R2" s="2476"/>
      <c r="S2" s="2476"/>
      <c r="T2" s="2477"/>
    </row>
    <row r="3" spans="1:55" s="7" customFormat="1" ht="25.5" customHeight="1">
      <c r="A3" s="1448"/>
      <c r="B3" s="1159"/>
      <c r="C3" s="1159"/>
      <c r="D3" s="1159"/>
      <c r="E3" s="1159"/>
      <c r="F3" s="1159"/>
      <c r="G3" s="1159"/>
      <c r="H3" s="1159"/>
      <c r="I3" s="1159"/>
      <c r="J3" s="1159"/>
      <c r="K3" s="1159"/>
      <c r="L3" s="1159"/>
      <c r="M3" s="1159"/>
      <c r="N3" s="1159"/>
      <c r="O3" s="2478" t="s">
        <v>498</v>
      </c>
      <c r="P3" s="2478"/>
      <c r="Q3" s="2478"/>
      <c r="R3" s="2478"/>
      <c r="S3" s="2479"/>
      <c r="T3" s="2480"/>
    </row>
    <row r="4" spans="1:55" s="95" customFormat="1" ht="31.5" customHeight="1">
      <c r="A4" s="1449" t="s">
        <v>688</v>
      </c>
      <c r="B4" s="240" t="s">
        <v>141</v>
      </c>
      <c r="C4" s="240" t="s">
        <v>485</v>
      </c>
      <c r="D4" s="240" t="s">
        <v>484</v>
      </c>
      <c r="E4" s="240" t="s">
        <v>483</v>
      </c>
      <c r="F4" s="240" t="s">
        <v>482</v>
      </c>
      <c r="G4" s="240" t="s">
        <v>497</v>
      </c>
      <c r="H4" s="240" t="s">
        <v>1</v>
      </c>
      <c r="I4" s="240" t="s">
        <v>2</v>
      </c>
      <c r="J4" s="240" t="s">
        <v>3</v>
      </c>
      <c r="K4" s="240" t="s">
        <v>13</v>
      </c>
      <c r="L4" s="240" t="s">
        <v>41</v>
      </c>
      <c r="M4" s="240" t="s">
        <v>42</v>
      </c>
      <c r="N4" s="240" t="s">
        <v>129</v>
      </c>
      <c r="O4" s="240" t="s">
        <v>142</v>
      </c>
      <c r="P4" s="240" t="s">
        <v>276</v>
      </c>
      <c r="Q4" s="240" t="s">
        <v>522</v>
      </c>
      <c r="R4" s="240" t="s">
        <v>652</v>
      </c>
      <c r="S4" s="240" t="s">
        <v>803</v>
      </c>
      <c r="T4" s="1450" t="s">
        <v>49</v>
      </c>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row>
    <row r="5" spans="1:55" s="7" customFormat="1" ht="25.5" customHeight="1">
      <c r="A5" s="1451">
        <v>1</v>
      </c>
      <c r="B5" s="26" t="s">
        <v>144</v>
      </c>
      <c r="C5" s="255">
        <v>891.09</v>
      </c>
      <c r="D5" s="255">
        <v>856.93</v>
      </c>
      <c r="E5" s="255">
        <v>1010.09</v>
      </c>
      <c r="F5" s="255">
        <v>1252.78</v>
      </c>
      <c r="G5" s="255">
        <v>1293.8599999999999</v>
      </c>
      <c r="H5" s="254">
        <v>1368.2</v>
      </c>
      <c r="I5" s="254">
        <v>1603.17</v>
      </c>
      <c r="J5" s="254">
        <v>1808.08</v>
      </c>
      <c r="K5" s="254">
        <v>2018.4159999999999</v>
      </c>
      <c r="L5" s="254">
        <v>1978.578</v>
      </c>
      <c r="M5" s="36">
        <v>2352.2629999999999</v>
      </c>
      <c r="N5" s="254">
        <v>2766.19</v>
      </c>
      <c r="O5" s="254">
        <v>3449.55</v>
      </c>
      <c r="P5" s="254">
        <v>3991</v>
      </c>
      <c r="Q5" s="254">
        <v>4174</v>
      </c>
      <c r="R5" s="254">
        <v>4813.0479999999998</v>
      </c>
      <c r="S5" s="254">
        <v>4623</v>
      </c>
      <c r="T5" s="1452" t="s">
        <v>14</v>
      </c>
    </row>
    <row r="6" spans="1:55" s="87" customFormat="1" ht="23.25" customHeight="1">
      <c r="A6" s="1451">
        <v>2</v>
      </c>
      <c r="B6" s="26" t="s">
        <v>145</v>
      </c>
      <c r="C6" s="256">
        <v>2.75</v>
      </c>
      <c r="D6" s="255">
        <v>2.77</v>
      </c>
      <c r="E6" s="255">
        <v>2.83</v>
      </c>
      <c r="F6" s="255">
        <v>2.88</v>
      </c>
      <c r="G6" s="255">
        <v>2.65</v>
      </c>
      <c r="H6" s="254">
        <v>3.15</v>
      </c>
      <c r="I6" s="254">
        <v>3.3</v>
      </c>
      <c r="J6" s="254">
        <v>3.71</v>
      </c>
      <c r="K6" s="254">
        <v>3.62</v>
      </c>
      <c r="L6" s="254">
        <v>4</v>
      </c>
      <c r="M6" s="36">
        <v>4.05</v>
      </c>
      <c r="N6" s="254">
        <v>4.1100000000000003</v>
      </c>
      <c r="O6" s="254">
        <v>4.25</v>
      </c>
      <c r="P6" s="254">
        <v>5</v>
      </c>
      <c r="Q6" s="254">
        <v>5</v>
      </c>
      <c r="R6" s="254">
        <v>5.1499999999999995</v>
      </c>
      <c r="S6" s="254">
        <v>5</v>
      </c>
      <c r="T6" s="1452" t="s">
        <v>15</v>
      </c>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row>
    <row r="7" spans="1:55" s="7" customFormat="1" ht="21.95" customHeight="1">
      <c r="A7" s="1451">
        <v>3</v>
      </c>
      <c r="B7" s="26" t="s">
        <v>146</v>
      </c>
      <c r="C7" s="256">
        <v>188.01</v>
      </c>
      <c r="D7" s="255">
        <v>181.48</v>
      </c>
      <c r="E7" s="255">
        <v>190.32</v>
      </c>
      <c r="F7" s="255">
        <v>206.15</v>
      </c>
      <c r="G7" s="255">
        <v>218.82</v>
      </c>
      <c r="H7" s="254">
        <v>227.24199999999999</v>
      </c>
      <c r="I7" s="254">
        <v>228.62</v>
      </c>
      <c r="J7" s="254">
        <v>254.27</v>
      </c>
      <c r="K7" s="254">
        <v>266.7</v>
      </c>
      <c r="L7" s="254">
        <v>282.69900000000001</v>
      </c>
      <c r="M7" s="36">
        <v>294.2</v>
      </c>
      <c r="N7" s="254">
        <v>306.60000000000002</v>
      </c>
      <c r="O7" s="254">
        <f>327263/1000</f>
        <v>327.26299999999998</v>
      </c>
      <c r="P7" s="254">
        <v>331</v>
      </c>
      <c r="Q7" s="254">
        <v>373</v>
      </c>
      <c r="R7" s="254">
        <v>416.64599999999996</v>
      </c>
      <c r="S7" s="254">
        <v>393</v>
      </c>
      <c r="T7" s="1452" t="s">
        <v>21</v>
      </c>
    </row>
    <row r="8" spans="1:55" s="7" customFormat="1" ht="21.95" customHeight="1">
      <c r="A8" s="1451">
        <v>4</v>
      </c>
      <c r="B8" s="26" t="s">
        <v>147</v>
      </c>
      <c r="C8" s="256">
        <v>279.52999999999997</v>
      </c>
      <c r="D8" s="255">
        <v>267.04000000000002</v>
      </c>
      <c r="E8" s="255">
        <v>319.10000000000002</v>
      </c>
      <c r="F8" s="255">
        <v>300.64999999999998</v>
      </c>
      <c r="G8" s="255">
        <v>297.39999999999998</v>
      </c>
      <c r="H8" s="254">
        <v>299.91000000000003</v>
      </c>
      <c r="I8" s="254">
        <v>344.47</v>
      </c>
      <c r="J8" s="254">
        <v>400.14</v>
      </c>
      <c r="K8" s="254">
        <v>432.298</v>
      </c>
      <c r="L8" s="254">
        <v>479.8</v>
      </c>
      <c r="M8" s="36">
        <v>506.887</v>
      </c>
      <c r="N8" s="254">
        <v>510</v>
      </c>
      <c r="O8" s="254">
        <f>587850/1000</f>
        <v>587.85</v>
      </c>
      <c r="P8" s="254">
        <v>602</v>
      </c>
      <c r="Q8" s="254">
        <v>641</v>
      </c>
      <c r="R8" s="254">
        <v>761.65899999999999</v>
      </c>
      <c r="S8" s="254">
        <v>683</v>
      </c>
      <c r="T8" s="1452" t="s">
        <v>22</v>
      </c>
    </row>
    <row r="9" spans="1:55" s="7" customFormat="1" ht="21.95" customHeight="1">
      <c r="A9" s="1451">
        <v>5</v>
      </c>
      <c r="B9" s="26" t="s">
        <v>148</v>
      </c>
      <c r="C9" s="256">
        <v>131.75</v>
      </c>
      <c r="D9" s="255">
        <v>137.75</v>
      </c>
      <c r="E9" s="255">
        <v>139.37</v>
      </c>
      <c r="F9" s="255">
        <v>158.69999999999999</v>
      </c>
      <c r="G9" s="255">
        <v>174.25</v>
      </c>
      <c r="H9" s="254">
        <v>228.20699999999999</v>
      </c>
      <c r="I9" s="254">
        <v>250.7</v>
      </c>
      <c r="J9" s="254">
        <v>255.61</v>
      </c>
      <c r="K9" s="254">
        <v>284.959</v>
      </c>
      <c r="L9" s="254">
        <v>314.16399999999999</v>
      </c>
      <c r="M9" s="36">
        <v>342.29899999999998</v>
      </c>
      <c r="N9" s="254">
        <v>376.8</v>
      </c>
      <c r="O9" s="254">
        <f>457167.2/1000</f>
        <v>457.16720000000004</v>
      </c>
      <c r="P9" s="254">
        <v>489</v>
      </c>
      <c r="Q9" s="254">
        <v>572</v>
      </c>
      <c r="R9" s="254">
        <v>591.28399999999999</v>
      </c>
      <c r="S9" s="254">
        <v>577</v>
      </c>
      <c r="T9" s="1452" t="s">
        <v>23</v>
      </c>
    </row>
    <row r="10" spans="1:55" s="7" customFormat="1" ht="21.95" customHeight="1">
      <c r="A10" s="1451">
        <v>6</v>
      </c>
      <c r="B10" s="26" t="s">
        <v>149</v>
      </c>
      <c r="C10" s="256">
        <v>0.7</v>
      </c>
      <c r="D10" s="255">
        <v>0.61</v>
      </c>
      <c r="E10" s="255">
        <v>0.61</v>
      </c>
      <c r="F10" s="255">
        <v>0.72</v>
      </c>
      <c r="G10" s="255">
        <v>0.72</v>
      </c>
      <c r="H10" s="254">
        <v>0.82</v>
      </c>
      <c r="I10" s="254">
        <v>0.74</v>
      </c>
      <c r="J10" s="254">
        <v>0.69</v>
      </c>
      <c r="K10" s="254">
        <v>0.88</v>
      </c>
      <c r="L10" s="254">
        <v>0.67500000000000004</v>
      </c>
      <c r="M10" s="36">
        <v>0.71</v>
      </c>
      <c r="N10" s="254">
        <v>0.72</v>
      </c>
      <c r="O10" s="254">
        <v>0.80100000000000005</v>
      </c>
      <c r="P10" s="254">
        <v>0</v>
      </c>
      <c r="Q10" s="254">
        <v>1</v>
      </c>
      <c r="R10" s="254">
        <v>1</v>
      </c>
      <c r="S10" s="254">
        <v>1</v>
      </c>
      <c r="T10" s="1452" t="s">
        <v>24</v>
      </c>
    </row>
    <row r="11" spans="1:55" s="7" customFormat="1" ht="21.95" customHeight="1">
      <c r="A11" s="1451">
        <v>7</v>
      </c>
      <c r="B11" s="26" t="s">
        <v>150</v>
      </c>
      <c r="C11" s="256">
        <v>104.95</v>
      </c>
      <c r="D11" s="255">
        <v>102.39</v>
      </c>
      <c r="E11" s="255">
        <v>33.43</v>
      </c>
      <c r="F11" s="255">
        <v>86.21</v>
      </c>
      <c r="G11" s="255">
        <v>84.33</v>
      </c>
      <c r="H11" s="254">
        <v>93.27</v>
      </c>
      <c r="I11" s="254">
        <v>89.96</v>
      </c>
      <c r="J11" s="254">
        <v>77.88</v>
      </c>
      <c r="K11" s="254">
        <v>114.059</v>
      </c>
      <c r="L11" s="254">
        <v>117.976</v>
      </c>
      <c r="M11" s="36">
        <v>111.911</v>
      </c>
      <c r="N11" s="254">
        <v>117.89</v>
      </c>
      <c r="O11" s="36">
        <v>124.07</v>
      </c>
      <c r="P11" s="36">
        <v>120</v>
      </c>
      <c r="Q11" s="36">
        <v>105</v>
      </c>
      <c r="R11" s="36">
        <v>116.166</v>
      </c>
      <c r="S11" s="36">
        <v>111.00000000000001</v>
      </c>
      <c r="T11" s="1452" t="s">
        <v>16</v>
      </c>
    </row>
    <row r="12" spans="1:55" s="7" customFormat="1" ht="21.95" customHeight="1">
      <c r="A12" s="1451">
        <v>8</v>
      </c>
      <c r="B12" s="26" t="s">
        <v>151</v>
      </c>
      <c r="C12" s="256">
        <v>733.81</v>
      </c>
      <c r="D12" s="255">
        <v>747.33</v>
      </c>
      <c r="E12" s="255">
        <v>721.91</v>
      </c>
      <c r="F12" s="255">
        <v>765.9</v>
      </c>
      <c r="G12" s="255">
        <v>771.52</v>
      </c>
      <c r="H12" s="254">
        <v>774.90200000000004</v>
      </c>
      <c r="I12" s="254">
        <v>783.72</v>
      </c>
      <c r="J12" s="254">
        <v>788.49</v>
      </c>
      <c r="K12" s="36">
        <v>798.46</v>
      </c>
      <c r="L12" s="254">
        <v>809.93200000000002</v>
      </c>
      <c r="M12" s="36">
        <v>809.56</v>
      </c>
      <c r="N12" s="254">
        <v>812.1</v>
      </c>
      <c r="O12" s="254">
        <v>834.52</v>
      </c>
      <c r="P12" s="254">
        <v>841</v>
      </c>
      <c r="Q12" s="254">
        <v>859</v>
      </c>
      <c r="R12" s="254">
        <v>874</v>
      </c>
      <c r="S12" s="254">
        <v>840</v>
      </c>
      <c r="T12" s="1452" t="s">
        <v>17</v>
      </c>
    </row>
    <row r="13" spans="1:55" s="7" customFormat="1" ht="21.95" customHeight="1">
      <c r="A13" s="1451">
        <v>9</v>
      </c>
      <c r="B13" s="26" t="s">
        <v>152</v>
      </c>
      <c r="C13" s="256">
        <v>48.2</v>
      </c>
      <c r="D13" s="255">
        <v>60.08</v>
      </c>
      <c r="E13" s="255">
        <v>67.239999999999995</v>
      </c>
      <c r="F13" s="255">
        <v>76.290000000000006</v>
      </c>
      <c r="G13" s="255">
        <v>100.46</v>
      </c>
      <c r="H13" s="254">
        <v>96.194999999999993</v>
      </c>
      <c r="I13" s="254">
        <v>106</v>
      </c>
      <c r="J13" s="254">
        <v>111.48</v>
      </c>
      <c r="K13" s="36">
        <v>105.58</v>
      </c>
      <c r="L13" s="254">
        <v>111.2032</v>
      </c>
      <c r="M13" s="36">
        <v>121</v>
      </c>
      <c r="N13" s="254">
        <v>144.21</v>
      </c>
      <c r="O13" s="254">
        <f>190000.9/1000</f>
        <v>190.0009</v>
      </c>
      <c r="P13" s="254">
        <v>180</v>
      </c>
      <c r="Q13" s="254">
        <v>191</v>
      </c>
      <c r="R13" s="254">
        <v>208.13332</v>
      </c>
      <c r="S13" s="254">
        <v>202.99999999999997</v>
      </c>
      <c r="T13" s="1452" t="s">
        <v>25</v>
      </c>
    </row>
    <row r="14" spans="1:55" s="7" customFormat="1" ht="21.95" customHeight="1">
      <c r="A14" s="1451">
        <v>10</v>
      </c>
      <c r="B14" s="26" t="s">
        <v>153</v>
      </c>
      <c r="C14" s="256">
        <v>7.3</v>
      </c>
      <c r="D14" s="255">
        <v>6.89</v>
      </c>
      <c r="E14" s="255">
        <v>7.85</v>
      </c>
      <c r="F14" s="255">
        <v>7.79</v>
      </c>
      <c r="G14" s="255">
        <v>7.75</v>
      </c>
      <c r="H14" s="254">
        <v>7.3810000000000002</v>
      </c>
      <c r="I14" s="254">
        <v>8.0500000000000007</v>
      </c>
      <c r="J14" s="254">
        <v>8.56</v>
      </c>
      <c r="K14" s="254">
        <v>9.8339999999999996</v>
      </c>
      <c r="L14" s="254">
        <v>10.73648</v>
      </c>
      <c r="M14" s="36">
        <v>11.798999999999999</v>
      </c>
      <c r="N14" s="254">
        <v>12.48</v>
      </c>
      <c r="O14" s="254">
        <v>12.65</v>
      </c>
      <c r="P14" s="254">
        <v>13</v>
      </c>
      <c r="Q14" s="254">
        <v>14</v>
      </c>
      <c r="R14" s="254">
        <v>16.015810000000002</v>
      </c>
      <c r="S14" s="254">
        <v>15</v>
      </c>
      <c r="T14" s="1452" t="s">
        <v>5</v>
      </c>
    </row>
    <row r="15" spans="1:55" s="7" customFormat="1" ht="21.95" customHeight="1">
      <c r="A15" s="1451">
        <v>11</v>
      </c>
      <c r="B15" s="26" t="s">
        <v>154</v>
      </c>
      <c r="C15" s="256">
        <v>19.149999999999999</v>
      </c>
      <c r="D15" s="255">
        <v>19.2</v>
      </c>
      <c r="E15" s="255">
        <v>17.329999999999998</v>
      </c>
      <c r="F15" s="255">
        <v>19.27</v>
      </c>
      <c r="G15" s="255">
        <v>18.940000000000001</v>
      </c>
      <c r="H15" s="254">
        <v>19.7</v>
      </c>
      <c r="I15" s="254">
        <v>19.850000000000001</v>
      </c>
      <c r="J15" s="254">
        <v>19.95</v>
      </c>
      <c r="K15" s="254">
        <v>20</v>
      </c>
      <c r="L15" s="254">
        <v>20.3</v>
      </c>
      <c r="M15" s="36">
        <v>20.079999999999998</v>
      </c>
      <c r="N15" s="254">
        <v>18.8</v>
      </c>
      <c r="O15" s="254">
        <v>20.7</v>
      </c>
      <c r="P15" s="254">
        <v>21</v>
      </c>
      <c r="Q15" s="254">
        <v>21</v>
      </c>
      <c r="R15" s="254">
        <v>25</v>
      </c>
      <c r="S15" s="254">
        <v>21</v>
      </c>
      <c r="T15" s="1452" t="s">
        <v>26</v>
      </c>
    </row>
    <row r="16" spans="1:55" s="7" customFormat="1" ht="21.95" customHeight="1">
      <c r="A16" s="1451">
        <v>12</v>
      </c>
      <c r="B16" s="26" t="s">
        <v>155</v>
      </c>
      <c r="C16" s="256">
        <v>34.270000000000003</v>
      </c>
      <c r="D16" s="255">
        <v>34.270000000000003</v>
      </c>
      <c r="E16" s="255">
        <v>67.89</v>
      </c>
      <c r="F16" s="255">
        <v>75.8</v>
      </c>
      <c r="G16" s="255">
        <v>70.5</v>
      </c>
      <c r="H16" s="254">
        <v>71.885999999999996</v>
      </c>
      <c r="I16" s="254">
        <v>91.68</v>
      </c>
      <c r="J16" s="254">
        <v>96.6</v>
      </c>
      <c r="K16" s="254">
        <v>104.82</v>
      </c>
      <c r="L16" s="254">
        <v>106.43</v>
      </c>
      <c r="M16" s="36">
        <v>115.995</v>
      </c>
      <c r="N16" s="254">
        <v>145.16</v>
      </c>
      <c r="O16" s="254">
        <f>190000/1000</f>
        <v>190</v>
      </c>
      <c r="P16" s="254">
        <v>208</v>
      </c>
      <c r="Q16" s="254">
        <v>223</v>
      </c>
      <c r="R16" s="254">
        <v>257.2</v>
      </c>
      <c r="S16" s="254">
        <v>238</v>
      </c>
      <c r="T16" s="1452" t="s">
        <v>27</v>
      </c>
    </row>
    <row r="17" spans="1:20" s="7" customFormat="1" ht="21.95" customHeight="1">
      <c r="A17" s="1451">
        <v>13</v>
      </c>
      <c r="B17" s="26" t="s">
        <v>156</v>
      </c>
      <c r="C17" s="256">
        <v>297.57</v>
      </c>
      <c r="D17" s="255">
        <v>292.45999999999998</v>
      </c>
      <c r="E17" s="255">
        <v>297.69</v>
      </c>
      <c r="F17" s="255">
        <v>361.85</v>
      </c>
      <c r="G17" s="255">
        <v>408.05</v>
      </c>
      <c r="H17" s="254">
        <v>526.57899999999995</v>
      </c>
      <c r="I17" s="254">
        <v>546.44000000000005</v>
      </c>
      <c r="J17" s="254">
        <v>525.57000000000005</v>
      </c>
      <c r="K17" s="254">
        <v>555.30999999999995</v>
      </c>
      <c r="L17" s="254">
        <v>613.24099999999999</v>
      </c>
      <c r="M17" s="36">
        <v>580.57000000000005</v>
      </c>
      <c r="N17" s="254">
        <v>557.49</v>
      </c>
      <c r="O17" s="254">
        <f>602522.2/1000</f>
        <v>602.5222</v>
      </c>
      <c r="P17" s="254">
        <v>588</v>
      </c>
      <c r="Q17" s="254">
        <v>632</v>
      </c>
      <c r="R17" s="254">
        <v>1073.7458200000001</v>
      </c>
      <c r="S17" s="254">
        <v>608</v>
      </c>
      <c r="T17" s="1452" t="s">
        <v>28</v>
      </c>
    </row>
    <row r="18" spans="1:20" s="7" customFormat="1" ht="21.95" customHeight="1">
      <c r="A18" s="1451">
        <v>14</v>
      </c>
      <c r="B18" s="26" t="s">
        <v>157</v>
      </c>
      <c r="C18" s="256">
        <v>636.89</v>
      </c>
      <c r="D18" s="255">
        <v>677.63</v>
      </c>
      <c r="E18" s="255">
        <v>667.33</v>
      </c>
      <c r="F18" s="255">
        <v>685.99</v>
      </c>
      <c r="G18" s="255">
        <v>663.12</v>
      </c>
      <c r="H18" s="254">
        <v>681.61300000000006</v>
      </c>
      <c r="I18" s="254">
        <v>693.21</v>
      </c>
      <c r="J18" s="254">
        <v>679.74</v>
      </c>
      <c r="K18" s="254">
        <v>708.64499999999998</v>
      </c>
      <c r="L18" s="254">
        <v>726.01299999999992</v>
      </c>
      <c r="M18" s="36">
        <v>727.50700000000006</v>
      </c>
      <c r="N18" s="254">
        <v>608.72</v>
      </c>
      <c r="O18" s="254">
        <f>562621/1000</f>
        <v>562.62099999999998</v>
      </c>
      <c r="P18" s="254">
        <v>801</v>
      </c>
      <c r="Q18" s="254">
        <v>680</v>
      </c>
      <c r="R18" s="254">
        <v>826</v>
      </c>
      <c r="S18" s="254">
        <v>616</v>
      </c>
      <c r="T18" s="1452" t="s">
        <v>6</v>
      </c>
    </row>
    <row r="19" spans="1:20" s="7" customFormat="1" ht="21.95" customHeight="1">
      <c r="A19" s="1451">
        <v>15</v>
      </c>
      <c r="B19" s="26" t="s">
        <v>158</v>
      </c>
      <c r="C19" s="256">
        <v>61.08</v>
      </c>
      <c r="D19" s="255">
        <v>65.040000000000006</v>
      </c>
      <c r="E19" s="255">
        <v>63.89</v>
      </c>
      <c r="F19" s="255">
        <v>68.47</v>
      </c>
      <c r="G19" s="255">
        <v>66.12</v>
      </c>
      <c r="H19" s="254">
        <v>56.451000000000001</v>
      </c>
      <c r="I19" s="254">
        <v>75.41</v>
      </c>
      <c r="J19" s="254">
        <v>85.16</v>
      </c>
      <c r="K19" s="254">
        <v>96.257999999999996</v>
      </c>
      <c r="L19" s="254">
        <v>109.12137</v>
      </c>
      <c r="M19" s="36">
        <v>115.017</v>
      </c>
      <c r="N19" s="254">
        <v>138.69</v>
      </c>
      <c r="O19" s="254">
        <f>143419.7/1000</f>
        <v>143.41970000000001</v>
      </c>
      <c r="P19" s="254">
        <v>173</v>
      </c>
      <c r="Q19" s="254">
        <v>200</v>
      </c>
      <c r="R19" s="254">
        <v>293.00824</v>
      </c>
      <c r="S19" s="254">
        <v>249.00000000000003</v>
      </c>
      <c r="T19" s="1452" t="s">
        <v>18</v>
      </c>
    </row>
    <row r="20" spans="1:20" s="7" customFormat="1" ht="21.95" customHeight="1">
      <c r="A20" s="1451">
        <v>16</v>
      </c>
      <c r="B20" s="26" t="s">
        <v>159</v>
      </c>
      <c r="C20" s="256">
        <v>580.54</v>
      </c>
      <c r="D20" s="255">
        <v>595.94000000000005</v>
      </c>
      <c r="E20" s="255">
        <v>556.45000000000005</v>
      </c>
      <c r="F20" s="255">
        <v>523.1</v>
      </c>
      <c r="G20" s="255">
        <v>538.35</v>
      </c>
      <c r="H20" s="254">
        <v>595.24900000000002</v>
      </c>
      <c r="I20" s="254">
        <v>578.79</v>
      </c>
      <c r="J20" s="254">
        <v>586.37</v>
      </c>
      <c r="K20" s="254">
        <v>602.67899999999997</v>
      </c>
      <c r="L20" s="254">
        <v>608.06500000000005</v>
      </c>
      <c r="M20" s="36">
        <v>579.68499999999995</v>
      </c>
      <c r="N20" s="254">
        <v>662.91</v>
      </c>
      <c r="O20" s="254">
        <v>606</v>
      </c>
      <c r="P20" s="254">
        <v>568</v>
      </c>
      <c r="Q20" s="254">
        <v>561</v>
      </c>
      <c r="R20" s="254">
        <v>589.43600000000004</v>
      </c>
      <c r="S20" s="254">
        <v>523</v>
      </c>
      <c r="T20" s="1452" t="s">
        <v>29</v>
      </c>
    </row>
    <row r="21" spans="1:20" s="7" customFormat="1" ht="21.95" customHeight="1">
      <c r="A21" s="1451">
        <v>17</v>
      </c>
      <c r="B21" s="26" t="s">
        <v>160</v>
      </c>
      <c r="C21" s="256">
        <v>18.22</v>
      </c>
      <c r="D21" s="255">
        <v>18.61</v>
      </c>
      <c r="E21" s="255">
        <v>18.600000000000001</v>
      </c>
      <c r="F21" s="255">
        <v>18.8</v>
      </c>
      <c r="G21" s="255">
        <v>19.2</v>
      </c>
      <c r="H21" s="254">
        <v>20.2</v>
      </c>
      <c r="I21" s="254">
        <v>22.22</v>
      </c>
      <c r="J21" s="254">
        <v>24.5</v>
      </c>
      <c r="K21" s="254">
        <v>28.541</v>
      </c>
      <c r="L21" s="254">
        <v>30.5</v>
      </c>
      <c r="M21" s="36">
        <v>32.034999999999997</v>
      </c>
      <c r="N21" s="254">
        <v>32</v>
      </c>
      <c r="O21" s="254">
        <f>33000/1000</f>
        <v>33</v>
      </c>
      <c r="P21" s="254">
        <v>32</v>
      </c>
      <c r="Q21" s="254">
        <v>32</v>
      </c>
      <c r="R21" s="254">
        <v>33.125</v>
      </c>
      <c r="S21" s="254">
        <v>33</v>
      </c>
      <c r="T21" s="1452" t="s">
        <v>19</v>
      </c>
    </row>
    <row r="22" spans="1:20" s="7" customFormat="1" ht="21.95" customHeight="1">
      <c r="A22" s="1451">
        <v>18</v>
      </c>
      <c r="B22" s="26" t="s">
        <v>161</v>
      </c>
      <c r="C22" s="256">
        <v>4.12</v>
      </c>
      <c r="D22" s="255">
        <v>5.49</v>
      </c>
      <c r="E22" s="255">
        <v>4</v>
      </c>
      <c r="F22" s="255">
        <v>3.96</v>
      </c>
      <c r="G22" s="255">
        <v>4.21</v>
      </c>
      <c r="H22" s="254">
        <v>4.5570000000000004</v>
      </c>
      <c r="I22" s="254">
        <v>4.7699999999999996</v>
      </c>
      <c r="J22" s="254">
        <v>5.42</v>
      </c>
      <c r="K22" s="254">
        <v>5.7519999999999998</v>
      </c>
      <c r="L22" s="254">
        <v>6.0389999999999997</v>
      </c>
      <c r="M22" s="36">
        <v>11.343</v>
      </c>
      <c r="N22" s="254">
        <v>12.33</v>
      </c>
      <c r="O22" s="254">
        <v>11.961</v>
      </c>
      <c r="P22" s="254">
        <v>13</v>
      </c>
      <c r="Q22" s="254">
        <v>14</v>
      </c>
      <c r="R22" s="254">
        <v>18.235402999999998</v>
      </c>
      <c r="S22" s="254">
        <v>16</v>
      </c>
      <c r="T22" s="1452" t="s">
        <v>8</v>
      </c>
    </row>
    <row r="23" spans="1:20" s="7" customFormat="1" ht="21.95" customHeight="1">
      <c r="A23" s="1451">
        <v>19</v>
      </c>
      <c r="B23" s="26" t="s">
        <v>162</v>
      </c>
      <c r="C23" s="256">
        <v>3.75</v>
      </c>
      <c r="D23" s="255">
        <v>3.76</v>
      </c>
      <c r="E23" s="255">
        <v>3.76</v>
      </c>
      <c r="F23" s="255">
        <v>2.89</v>
      </c>
      <c r="G23" s="255">
        <v>3.04</v>
      </c>
      <c r="H23" s="254">
        <v>2.9009999999999998</v>
      </c>
      <c r="I23" s="254">
        <v>2.93</v>
      </c>
      <c r="J23" s="254">
        <v>5.43</v>
      </c>
      <c r="K23" s="254">
        <v>5.94</v>
      </c>
      <c r="L23" s="254">
        <v>6.3869999999999996</v>
      </c>
      <c r="M23" s="36">
        <v>6.8280000000000003</v>
      </c>
      <c r="N23" s="254">
        <v>7.63</v>
      </c>
      <c r="O23" s="254">
        <f>7643.35/1000</f>
        <v>7.6433500000000008</v>
      </c>
      <c r="P23" s="254">
        <v>7</v>
      </c>
      <c r="Q23" s="254">
        <v>7</v>
      </c>
      <c r="R23" s="254">
        <v>4.7200200000000008</v>
      </c>
      <c r="S23" s="254">
        <v>5</v>
      </c>
      <c r="T23" s="1452" t="s">
        <v>30</v>
      </c>
    </row>
    <row r="24" spans="1:20" s="7" customFormat="1" ht="20.25" customHeight="1">
      <c r="A24" s="1451">
        <v>20</v>
      </c>
      <c r="B24" s="26" t="s">
        <v>163</v>
      </c>
      <c r="C24" s="256">
        <v>5.5</v>
      </c>
      <c r="D24" s="255">
        <v>5.8</v>
      </c>
      <c r="E24" s="255">
        <v>5.8</v>
      </c>
      <c r="F24" s="255">
        <v>6.18</v>
      </c>
      <c r="G24" s="255">
        <v>6.36</v>
      </c>
      <c r="H24" s="254">
        <v>6.585</v>
      </c>
      <c r="I24" s="254">
        <v>6.84</v>
      </c>
      <c r="J24" s="254">
        <v>7.13</v>
      </c>
      <c r="K24" s="254">
        <v>7.4649999999999999</v>
      </c>
      <c r="L24" s="254">
        <v>7.835</v>
      </c>
      <c r="M24" s="36">
        <v>8.2200000000000006</v>
      </c>
      <c r="N24" s="254">
        <v>8.61</v>
      </c>
      <c r="O24" s="254">
        <f>8990.5/1000</f>
        <v>8.9905000000000008</v>
      </c>
      <c r="P24" s="254">
        <v>9</v>
      </c>
      <c r="Q24" s="254">
        <v>9</v>
      </c>
      <c r="R24" s="254">
        <v>9</v>
      </c>
      <c r="S24" s="254">
        <v>9</v>
      </c>
      <c r="T24" s="1452" t="s">
        <v>31</v>
      </c>
    </row>
    <row r="25" spans="1:20" s="7" customFormat="1" ht="23.25" customHeight="1">
      <c r="A25" s="1451">
        <v>21</v>
      </c>
      <c r="B25" s="26" t="s">
        <v>164</v>
      </c>
      <c r="C25" s="256">
        <v>325.45</v>
      </c>
      <c r="D25" s="255">
        <v>342.04</v>
      </c>
      <c r="E25" s="255">
        <v>349.48</v>
      </c>
      <c r="F25" s="255">
        <v>374.82</v>
      </c>
      <c r="G25" s="255">
        <v>370.54</v>
      </c>
      <c r="H25" s="254">
        <v>386.185</v>
      </c>
      <c r="I25" s="254">
        <v>381.18299999999999</v>
      </c>
      <c r="J25" s="254">
        <v>410.14</v>
      </c>
      <c r="K25" s="254">
        <v>413.78500000000003</v>
      </c>
      <c r="L25" s="254">
        <v>469.548</v>
      </c>
      <c r="M25" s="36">
        <v>521.279</v>
      </c>
      <c r="N25" s="254">
        <v>608.1</v>
      </c>
      <c r="O25" s="254">
        <f>684962/1000</f>
        <v>684.96199999999999</v>
      </c>
      <c r="P25" s="254">
        <v>759</v>
      </c>
      <c r="Q25" s="254">
        <v>818</v>
      </c>
      <c r="R25" s="254">
        <v>989.84105999999997</v>
      </c>
      <c r="S25" s="254">
        <v>873</v>
      </c>
      <c r="T25" s="1452" t="s">
        <v>9</v>
      </c>
    </row>
    <row r="26" spans="1:20" s="7" customFormat="1" ht="23.25" customHeight="1">
      <c r="A26" s="1451">
        <v>22</v>
      </c>
      <c r="B26" s="26" t="s">
        <v>165</v>
      </c>
      <c r="C26" s="256">
        <v>85.64</v>
      </c>
      <c r="D26" s="255">
        <v>86.7</v>
      </c>
      <c r="E26" s="255">
        <v>78.73</v>
      </c>
      <c r="F26" s="255">
        <v>86.21</v>
      </c>
      <c r="G26" s="255">
        <v>122.86</v>
      </c>
      <c r="H26" s="254">
        <v>97.04</v>
      </c>
      <c r="I26" s="254">
        <v>97.62</v>
      </c>
      <c r="J26" s="254">
        <v>99.13</v>
      </c>
      <c r="K26" s="254">
        <v>104.02</v>
      </c>
      <c r="L26" s="254">
        <v>114.77</v>
      </c>
      <c r="M26" s="36">
        <v>120.08799999999999</v>
      </c>
      <c r="N26" s="254">
        <v>112.13</v>
      </c>
      <c r="O26" s="254">
        <f>136638.5/1000</f>
        <v>136.63849999999999</v>
      </c>
      <c r="P26" s="254">
        <v>135</v>
      </c>
      <c r="Q26" s="254">
        <v>151</v>
      </c>
      <c r="R26" s="254">
        <v>189.64689999999999</v>
      </c>
      <c r="S26" s="254">
        <v>165</v>
      </c>
      <c r="T26" s="1452" t="s">
        <v>32</v>
      </c>
    </row>
    <row r="27" spans="1:20" s="7" customFormat="1" ht="23.25" customHeight="1">
      <c r="A27" s="1451">
        <v>23</v>
      </c>
      <c r="B27" s="26" t="s">
        <v>166</v>
      </c>
      <c r="C27" s="256">
        <v>18.5</v>
      </c>
      <c r="D27" s="255">
        <v>22.2</v>
      </c>
      <c r="E27" s="255">
        <v>25.7</v>
      </c>
      <c r="F27" s="255">
        <v>24.1</v>
      </c>
      <c r="G27" s="255">
        <v>26.91</v>
      </c>
      <c r="H27" s="254">
        <v>28.2</v>
      </c>
      <c r="I27" s="254">
        <v>47.85</v>
      </c>
      <c r="J27" s="254">
        <v>55.16</v>
      </c>
      <c r="K27" s="254">
        <v>35.1</v>
      </c>
      <c r="L27" s="254">
        <v>46.314</v>
      </c>
      <c r="M27" s="36">
        <v>42.460999999999999</v>
      </c>
      <c r="N27" s="254">
        <v>50.2</v>
      </c>
      <c r="O27" s="254">
        <f>54035.34/1000</f>
        <v>54.035339999999998</v>
      </c>
      <c r="P27" s="254">
        <v>55</v>
      </c>
      <c r="Q27" s="254">
        <v>116</v>
      </c>
      <c r="R27" s="254">
        <v>65.693919999999991</v>
      </c>
      <c r="S27" s="254">
        <v>60</v>
      </c>
      <c r="T27" s="1452" t="s">
        <v>33</v>
      </c>
    </row>
    <row r="28" spans="1:20" s="7" customFormat="1" ht="23.25" customHeight="1">
      <c r="A28" s="1451">
        <v>24</v>
      </c>
      <c r="B28" s="26" t="s">
        <v>167</v>
      </c>
      <c r="C28" s="256">
        <v>0.15</v>
      </c>
      <c r="D28" s="255">
        <v>0.15</v>
      </c>
      <c r="E28" s="255">
        <v>0.18</v>
      </c>
      <c r="F28" s="255">
        <v>0.17</v>
      </c>
      <c r="G28" s="255">
        <v>0.17</v>
      </c>
      <c r="H28" s="254">
        <v>0.18</v>
      </c>
      <c r="I28" s="254">
        <v>0.28000000000000003</v>
      </c>
      <c r="J28" s="254">
        <v>0.49</v>
      </c>
      <c r="K28" s="254">
        <v>0.42</v>
      </c>
      <c r="L28" s="254">
        <v>0.44</v>
      </c>
      <c r="M28" s="36">
        <v>0.40200000000000002</v>
      </c>
      <c r="N28" s="254">
        <v>0.4</v>
      </c>
      <c r="O28" s="254">
        <v>0.38</v>
      </c>
      <c r="P28" s="254">
        <v>0</v>
      </c>
      <c r="Q28" s="254">
        <v>0</v>
      </c>
      <c r="R28" s="254">
        <v>0</v>
      </c>
      <c r="S28" s="254">
        <v>0</v>
      </c>
      <c r="T28" s="1452" t="s">
        <v>20</v>
      </c>
    </row>
    <row r="29" spans="1:20" s="7" customFormat="1" ht="23.25" customHeight="1">
      <c r="A29" s="1451">
        <v>25</v>
      </c>
      <c r="B29" s="26" t="s">
        <v>168</v>
      </c>
      <c r="C29" s="256">
        <v>463.03</v>
      </c>
      <c r="D29" s="255">
        <v>542.28</v>
      </c>
      <c r="E29" s="255">
        <v>559.36</v>
      </c>
      <c r="F29" s="255">
        <v>534.16999999999996</v>
      </c>
      <c r="G29" s="255">
        <v>534.16999999999996</v>
      </c>
      <c r="H29" s="254">
        <v>614.80899999999997</v>
      </c>
      <c r="I29" s="254">
        <v>611.49</v>
      </c>
      <c r="J29" s="254">
        <v>620.4</v>
      </c>
      <c r="K29" s="254">
        <v>624.29600000000005</v>
      </c>
      <c r="L29" s="254">
        <v>697.61231999999995</v>
      </c>
      <c r="M29" s="36">
        <v>709.16310999999996</v>
      </c>
      <c r="N29" s="254">
        <v>669.31</v>
      </c>
      <c r="O29" s="254">
        <v>681.94</v>
      </c>
      <c r="P29" s="254">
        <v>690</v>
      </c>
      <c r="Q29" s="254">
        <v>757</v>
      </c>
      <c r="R29" s="254">
        <v>807</v>
      </c>
      <c r="S29" s="254">
        <v>722</v>
      </c>
      <c r="T29" s="1452" t="s">
        <v>12</v>
      </c>
    </row>
    <row r="30" spans="1:20" s="7" customFormat="1" ht="23.25" customHeight="1">
      <c r="A30" s="1451">
        <v>26</v>
      </c>
      <c r="B30" s="26" t="s">
        <v>169</v>
      </c>
      <c r="C30" s="256"/>
      <c r="D30" s="255"/>
      <c r="E30" s="255"/>
      <c r="F30" s="255"/>
      <c r="G30" s="255"/>
      <c r="H30" s="254"/>
      <c r="I30" s="254"/>
      <c r="J30" s="254"/>
      <c r="K30" s="254"/>
      <c r="L30" s="254">
        <v>268.36099999999999</v>
      </c>
      <c r="M30" s="36">
        <v>236.75200000000001</v>
      </c>
      <c r="N30" s="254">
        <v>198.92</v>
      </c>
      <c r="O30" s="254">
        <f>270037/1000</f>
        <v>270.03699999999998</v>
      </c>
      <c r="P30" s="254">
        <v>284</v>
      </c>
      <c r="Q30" s="254">
        <v>300</v>
      </c>
      <c r="R30" s="254">
        <v>389.96899999999999</v>
      </c>
      <c r="S30" s="254">
        <v>349</v>
      </c>
      <c r="T30" s="1452" t="s">
        <v>39</v>
      </c>
    </row>
    <row r="31" spans="1:20" s="7" customFormat="1" ht="23.25" customHeight="1" thickBot="1">
      <c r="A31" s="1451" t="s">
        <v>653</v>
      </c>
      <c r="B31" s="26" t="s">
        <v>170</v>
      </c>
      <c r="C31" s="263">
        <v>23.87</v>
      </c>
      <c r="D31" s="262">
        <v>28.63</v>
      </c>
      <c r="E31" s="262">
        <v>36.25</v>
      </c>
      <c r="F31" s="262">
        <v>36</v>
      </c>
      <c r="G31" s="262">
        <v>42.27</v>
      </c>
      <c r="H31" s="261">
        <v>49.231000000000002</v>
      </c>
      <c r="I31" s="261">
        <v>53.34</v>
      </c>
      <c r="J31" s="261">
        <v>57.46</v>
      </c>
      <c r="K31" s="261">
        <v>61.95</v>
      </c>
      <c r="L31" s="261">
        <v>65.162999999999997</v>
      </c>
      <c r="M31" s="36">
        <v>69.055000000000007</v>
      </c>
      <c r="N31" s="254">
        <v>72.45</v>
      </c>
      <c r="O31" s="254">
        <f>76800/1000</f>
        <v>76.8</v>
      </c>
      <c r="P31" s="254">
        <v>70</v>
      </c>
      <c r="Q31" s="254">
        <v>78</v>
      </c>
      <c r="R31" s="254">
        <v>82</v>
      </c>
      <c r="S31" s="254">
        <v>82</v>
      </c>
      <c r="T31" s="1452" t="s">
        <v>34</v>
      </c>
    </row>
    <row r="32" spans="1:20" s="7" customFormat="1" ht="23.25" customHeight="1" thickTop="1">
      <c r="A32" s="1451">
        <v>28</v>
      </c>
      <c r="B32" s="26" t="s">
        <v>171</v>
      </c>
      <c r="C32" s="260">
        <v>289.58</v>
      </c>
      <c r="D32" s="259">
        <v>306.73</v>
      </c>
      <c r="E32" s="259">
        <v>325.95</v>
      </c>
      <c r="F32" s="259">
        <v>349.27</v>
      </c>
      <c r="G32" s="259">
        <v>392.93</v>
      </c>
      <c r="H32" s="258">
        <v>417.47899999999998</v>
      </c>
      <c r="I32" s="258">
        <v>429.72</v>
      </c>
      <c r="J32" s="258">
        <v>449.75</v>
      </c>
      <c r="K32" s="258">
        <v>464.48399999999998</v>
      </c>
      <c r="L32" s="258">
        <v>494.26499999999999</v>
      </c>
      <c r="M32" s="212">
        <v>504.80799999999999</v>
      </c>
      <c r="N32" s="258">
        <v>617.69000000000005</v>
      </c>
      <c r="O32" s="258">
        <f>628749.1/1000</f>
        <v>628.7491</v>
      </c>
      <c r="P32" s="258">
        <v>662</v>
      </c>
      <c r="Q32" s="258">
        <v>699</v>
      </c>
      <c r="R32" s="258">
        <v>809</v>
      </c>
      <c r="S32" s="258">
        <v>746</v>
      </c>
      <c r="T32" s="1453" t="s">
        <v>35</v>
      </c>
    </row>
    <row r="33" spans="1:55" s="7" customFormat="1" ht="23.25" customHeight="1">
      <c r="A33" s="1451">
        <v>29</v>
      </c>
      <c r="B33" s="26" t="s">
        <v>172</v>
      </c>
      <c r="C33" s="256">
        <v>2.79</v>
      </c>
      <c r="D33" s="255">
        <v>3.03</v>
      </c>
      <c r="E33" s="255">
        <v>3.09</v>
      </c>
      <c r="F33" s="255">
        <v>3.16</v>
      </c>
      <c r="G33" s="255">
        <v>3.49</v>
      </c>
      <c r="H33" s="254">
        <v>3.8180000000000001</v>
      </c>
      <c r="I33" s="254">
        <v>3.83</v>
      </c>
      <c r="J33" s="254">
        <v>3.85</v>
      </c>
      <c r="K33" s="254">
        <v>3.8889999999999998</v>
      </c>
      <c r="L33" s="254">
        <v>3.9362380000000003</v>
      </c>
      <c r="M33" s="36">
        <v>4.1379999999999999</v>
      </c>
      <c r="N33" s="254">
        <v>4.3</v>
      </c>
      <c r="O33" s="254">
        <f>4578.527/1000</f>
        <v>4.5785270000000002</v>
      </c>
      <c r="P33" s="254">
        <v>5</v>
      </c>
      <c r="Q33" s="254">
        <v>5</v>
      </c>
      <c r="R33" s="254">
        <v>6</v>
      </c>
      <c r="S33" s="254">
        <v>6</v>
      </c>
      <c r="T33" s="1452" t="s">
        <v>36</v>
      </c>
    </row>
    <row r="34" spans="1:55" s="7" customFormat="1" ht="23.25" customHeight="1">
      <c r="A34" s="1451">
        <v>30</v>
      </c>
      <c r="B34" s="26" t="s">
        <v>173</v>
      </c>
      <c r="C34" s="256">
        <v>1250</v>
      </c>
      <c r="D34" s="255">
        <v>1359.1</v>
      </c>
      <c r="E34" s="255">
        <v>1447.26</v>
      </c>
      <c r="F34" s="255">
        <v>1484</v>
      </c>
      <c r="G34" s="255">
        <v>1505</v>
      </c>
      <c r="H34" s="254">
        <v>1443.259</v>
      </c>
      <c r="I34" s="254">
        <v>1472.05</v>
      </c>
      <c r="J34" s="254">
        <v>1490.02</v>
      </c>
      <c r="K34" s="254">
        <v>1580.6469999999999</v>
      </c>
      <c r="L34" s="254">
        <v>1617.319</v>
      </c>
      <c r="M34" s="36">
        <v>1671.42</v>
      </c>
      <c r="N34" s="254">
        <v>1701.82</v>
      </c>
      <c r="O34" s="254">
        <f>1742092/1000</f>
        <v>1742.0920000000001</v>
      </c>
      <c r="P34" s="254">
        <v>1782</v>
      </c>
      <c r="Q34" s="254">
        <v>1782</v>
      </c>
      <c r="R34" s="254">
        <v>1843</v>
      </c>
      <c r="S34" s="254">
        <v>1823.9999999999998</v>
      </c>
      <c r="T34" s="1452" t="s">
        <v>37</v>
      </c>
    </row>
    <row r="35" spans="1:55" s="7" customFormat="1" ht="38.25" customHeight="1">
      <c r="A35" s="1451">
        <v>31</v>
      </c>
      <c r="B35" s="257" t="s">
        <v>174</v>
      </c>
      <c r="C35" s="256">
        <v>12.1</v>
      </c>
      <c r="D35" s="255">
        <v>28.68</v>
      </c>
      <c r="E35" s="255">
        <v>28.69</v>
      </c>
      <c r="F35" s="255">
        <v>32.49</v>
      </c>
      <c r="G35" s="255">
        <v>33.159999999999997</v>
      </c>
      <c r="H35" s="254">
        <v>33.920999999999999</v>
      </c>
      <c r="I35" s="254">
        <v>35.26</v>
      </c>
      <c r="J35" s="254">
        <v>36.619999999999997</v>
      </c>
      <c r="K35" s="254">
        <v>36.948</v>
      </c>
      <c r="L35" s="254">
        <v>37.177</v>
      </c>
      <c r="M35" s="36">
        <v>37.325000000000003</v>
      </c>
      <c r="N35" s="254">
        <v>38.81</v>
      </c>
      <c r="O35" s="254">
        <f>39504/1000</f>
        <v>39.503999999999998</v>
      </c>
      <c r="P35" s="254">
        <v>40</v>
      </c>
      <c r="Q35" s="254">
        <v>40</v>
      </c>
      <c r="R35" s="254">
        <v>44</v>
      </c>
      <c r="S35" s="254">
        <v>43</v>
      </c>
      <c r="T35" s="1454" t="s">
        <v>496</v>
      </c>
    </row>
    <row r="36" spans="1:55" s="7" customFormat="1" ht="23.25" customHeight="1">
      <c r="A36" s="1451">
        <v>32</v>
      </c>
      <c r="B36" s="26" t="s">
        <v>175</v>
      </c>
      <c r="C36" s="256">
        <v>0.09</v>
      </c>
      <c r="D36" s="255">
        <v>0.17</v>
      </c>
      <c r="E36" s="255">
        <v>0.21</v>
      </c>
      <c r="F36" s="255">
        <v>0.24</v>
      </c>
      <c r="G36" s="255">
        <v>0.24</v>
      </c>
      <c r="H36" s="254">
        <v>0.24199999999999999</v>
      </c>
      <c r="I36" s="254">
        <v>0.1</v>
      </c>
      <c r="J36" s="254">
        <v>0.05</v>
      </c>
      <c r="K36" s="254">
        <v>0.113</v>
      </c>
      <c r="L36" s="254">
        <v>0.11799999999999999</v>
      </c>
      <c r="M36" s="36">
        <v>0.128</v>
      </c>
      <c r="N36" s="254">
        <v>0.13</v>
      </c>
      <c r="O36" s="254">
        <v>0.13600000000000001</v>
      </c>
      <c r="P36" s="254">
        <v>1</v>
      </c>
      <c r="Q36" s="254">
        <v>1</v>
      </c>
      <c r="R36" s="254">
        <v>3.3000000000000002E-2</v>
      </c>
      <c r="S36" s="254">
        <v>0</v>
      </c>
      <c r="T36" s="1452" t="s">
        <v>38</v>
      </c>
    </row>
    <row r="37" spans="1:55" s="7" customFormat="1" ht="28.5" customHeight="1">
      <c r="A37" s="1451">
        <v>33</v>
      </c>
      <c r="B37" s="257" t="s">
        <v>176</v>
      </c>
      <c r="C37" s="256">
        <v>0.05</v>
      </c>
      <c r="D37" s="255">
        <v>0.05</v>
      </c>
      <c r="E37" s="255">
        <v>0.05</v>
      </c>
      <c r="F37" s="255">
        <v>0.05</v>
      </c>
      <c r="G37" s="255">
        <v>0.05</v>
      </c>
      <c r="H37" s="254">
        <v>0.05</v>
      </c>
      <c r="I37" s="254">
        <v>0.05</v>
      </c>
      <c r="J37" s="254">
        <v>0.05</v>
      </c>
      <c r="K37" s="254">
        <v>0.05</v>
      </c>
      <c r="L37" s="254">
        <v>5.5E-2</v>
      </c>
      <c r="M37" s="36">
        <v>0</v>
      </c>
      <c r="N37" s="254">
        <v>0</v>
      </c>
      <c r="O37" s="254">
        <v>0</v>
      </c>
      <c r="P37" s="2481">
        <v>28</v>
      </c>
      <c r="Q37" s="2481">
        <v>32</v>
      </c>
      <c r="R37" s="2481">
        <v>30</v>
      </c>
      <c r="S37" s="2481">
        <v>30</v>
      </c>
      <c r="T37" s="2483" t="s">
        <v>804</v>
      </c>
    </row>
    <row r="38" spans="1:55" s="7" customFormat="1" ht="28.5" customHeight="1">
      <c r="A38" s="1451">
        <v>34</v>
      </c>
      <c r="B38" s="26" t="s">
        <v>177</v>
      </c>
      <c r="C38" s="256">
        <v>17.79</v>
      </c>
      <c r="D38" s="255">
        <v>16.41</v>
      </c>
      <c r="E38" s="255">
        <v>26.36</v>
      </c>
      <c r="F38" s="255">
        <v>14.14</v>
      </c>
      <c r="G38" s="255">
        <v>15.88</v>
      </c>
      <c r="H38" s="254">
        <v>16.975000000000001</v>
      </c>
      <c r="I38" s="254">
        <v>17.43</v>
      </c>
      <c r="J38" s="254">
        <v>19.010000000000002</v>
      </c>
      <c r="K38" s="254">
        <v>19.86</v>
      </c>
      <c r="L38" s="254">
        <v>31.815999999999999</v>
      </c>
      <c r="M38" s="36">
        <v>23.030999999999999</v>
      </c>
      <c r="N38" s="254">
        <v>24.02</v>
      </c>
      <c r="O38" s="254">
        <f>24680.07/1000</f>
        <v>24.680070000000001</v>
      </c>
      <c r="P38" s="2482"/>
      <c r="Q38" s="2482"/>
      <c r="R38" s="2482"/>
      <c r="S38" s="2482"/>
      <c r="T38" s="2484"/>
    </row>
    <row r="39" spans="1:55" s="7" customFormat="1" ht="23.25" customHeight="1">
      <c r="A39" s="1136">
        <v>35</v>
      </c>
      <c r="B39" s="5" t="s">
        <v>649</v>
      </c>
      <c r="I39" s="2485"/>
      <c r="J39" s="2485"/>
      <c r="K39" s="2485"/>
      <c r="L39" s="2485"/>
      <c r="M39" s="2485"/>
      <c r="N39" s="2485"/>
      <c r="O39" s="2485"/>
      <c r="P39" s="2485"/>
      <c r="Q39" s="2485"/>
      <c r="R39" s="254">
        <v>1</v>
      </c>
      <c r="S39" s="254">
        <v>0</v>
      </c>
      <c r="T39" s="1452" t="s">
        <v>649</v>
      </c>
    </row>
    <row r="40" spans="1:55" s="7" customFormat="1" ht="23.25" customHeight="1">
      <c r="A40" s="1451">
        <v>36</v>
      </c>
      <c r="B40" s="26" t="s">
        <v>178</v>
      </c>
      <c r="C40" s="256">
        <v>11.96</v>
      </c>
      <c r="D40" s="255">
        <v>11.75</v>
      </c>
      <c r="E40" s="255">
        <v>11.04</v>
      </c>
      <c r="F40" s="255">
        <v>12.59</v>
      </c>
      <c r="G40" s="255">
        <v>12.37</v>
      </c>
      <c r="H40" s="254">
        <v>12.372</v>
      </c>
      <c r="I40" s="254">
        <v>12.37</v>
      </c>
      <c r="J40" s="254">
        <v>12.37</v>
      </c>
      <c r="K40" s="254">
        <v>18.716999999999999</v>
      </c>
      <c r="L40" s="254">
        <v>13.169</v>
      </c>
      <c r="M40" s="36">
        <v>15.938455999999999</v>
      </c>
      <c r="N40" s="254">
        <v>29.8</v>
      </c>
      <c r="O40" s="254">
        <v>20.774000000000001</v>
      </c>
      <c r="P40" s="254">
        <v>22</v>
      </c>
      <c r="Q40" s="254">
        <v>20</v>
      </c>
      <c r="R40" s="254">
        <v>12</v>
      </c>
      <c r="S40" s="254">
        <v>15</v>
      </c>
      <c r="T40" s="1452" t="s">
        <v>7</v>
      </c>
    </row>
    <row r="41" spans="1:55" s="7" customFormat="1" ht="23.25" customHeight="1">
      <c r="A41" s="1451">
        <v>37</v>
      </c>
      <c r="B41" s="26" t="s">
        <v>179</v>
      </c>
      <c r="C41" s="256">
        <v>21.45</v>
      </c>
      <c r="D41" s="255">
        <v>39.659999999999997</v>
      </c>
      <c r="E41" s="255">
        <v>39.01</v>
      </c>
      <c r="F41" s="255">
        <v>40.299999999999997</v>
      </c>
      <c r="G41" s="255">
        <v>41.95</v>
      </c>
      <c r="H41" s="254">
        <v>41.948999999999998</v>
      </c>
      <c r="I41" s="254">
        <v>42.4</v>
      </c>
      <c r="J41" s="254">
        <v>41.07</v>
      </c>
      <c r="K41" s="254">
        <v>42.081000000000003</v>
      </c>
      <c r="L41" s="254">
        <v>47.403199999999998</v>
      </c>
      <c r="M41" s="36">
        <v>64.042000000000002</v>
      </c>
      <c r="N41" s="254">
        <f>50251.824/1000</f>
        <v>50.251823999999999</v>
      </c>
      <c r="O41" s="254">
        <f>49922.71/1000</f>
        <v>49.922710000000002</v>
      </c>
      <c r="P41" s="254">
        <v>47</v>
      </c>
      <c r="Q41" s="254">
        <v>51</v>
      </c>
      <c r="R41" s="254">
        <v>46.454169999999998</v>
      </c>
      <c r="S41" s="254">
        <v>39</v>
      </c>
      <c r="T41" s="1452" t="s">
        <v>10</v>
      </c>
    </row>
    <row r="42" spans="1:55" s="7" customFormat="1" ht="23.25" customHeight="1">
      <c r="A42" s="2464" t="s">
        <v>706</v>
      </c>
      <c r="B42" s="2465"/>
      <c r="C42" s="20">
        <v>6571.63</v>
      </c>
      <c r="D42" s="20">
        <v>6869.05</v>
      </c>
      <c r="E42" s="20">
        <v>7126.83</v>
      </c>
      <c r="F42" s="20">
        <v>7616.09</v>
      </c>
      <c r="G42" s="20">
        <v>7851.61</v>
      </c>
      <c r="H42" s="253">
        <v>8230.7099999999991</v>
      </c>
      <c r="I42" s="253">
        <v>8666.49</v>
      </c>
      <c r="J42" s="253">
        <v>9040.34</v>
      </c>
      <c r="K42" s="39">
        <v>9572.27</v>
      </c>
      <c r="L42" s="39">
        <f>SUM(L5:L41)-0.004</f>
        <v>10251.157808</v>
      </c>
      <c r="M42" s="39">
        <v>10761.755466000002</v>
      </c>
      <c r="N42" s="253">
        <f>SUM(N5:N41)</f>
        <v>11421.771823999998</v>
      </c>
      <c r="O42" s="253">
        <f>SUM(O5:O41)</f>
        <v>12590.209097000001</v>
      </c>
      <c r="P42" s="253">
        <f>SUM(P5:P41)</f>
        <v>13572</v>
      </c>
      <c r="Q42" s="253">
        <f>SUM(Q5:Q41)</f>
        <v>14164</v>
      </c>
      <c r="R42" s="253">
        <v>16248.210663000003</v>
      </c>
      <c r="S42" s="253">
        <v>14725</v>
      </c>
      <c r="T42" s="1455" t="s">
        <v>707</v>
      </c>
    </row>
    <row r="43" spans="1:55" ht="21" customHeight="1">
      <c r="A43" s="2466" t="s">
        <v>509</v>
      </c>
      <c r="B43" s="2467"/>
      <c r="C43" s="2467"/>
      <c r="D43" s="2467"/>
      <c r="E43" s="2467"/>
      <c r="F43" s="2467"/>
      <c r="G43" s="2467"/>
      <c r="H43" s="2467"/>
      <c r="I43" s="2467"/>
      <c r="J43" s="2467"/>
      <c r="K43" s="2467"/>
      <c r="L43" s="2467"/>
      <c r="M43" s="2467"/>
      <c r="N43" s="2467"/>
      <c r="O43" s="2467"/>
      <c r="P43" s="2467"/>
      <c r="Q43" s="2467"/>
      <c r="R43" s="2467"/>
      <c r="S43" s="2467"/>
      <c r="T43" s="2468"/>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row>
    <row r="44" spans="1:55" s="7" customFormat="1" ht="24" customHeight="1" thickBot="1">
      <c r="A44" s="2469" t="s">
        <v>644</v>
      </c>
      <c r="B44" s="2470"/>
      <c r="C44" s="2470"/>
      <c r="D44" s="2470"/>
      <c r="E44" s="2470"/>
      <c r="F44" s="2470"/>
      <c r="G44" s="2470"/>
      <c r="H44" s="2470"/>
      <c r="I44" s="2470"/>
      <c r="J44" s="2470"/>
      <c r="K44" s="2470"/>
      <c r="L44" s="2470"/>
      <c r="M44" s="2470"/>
      <c r="N44" s="2470"/>
      <c r="O44" s="2470"/>
      <c r="P44" s="2470"/>
      <c r="Q44" s="2470"/>
      <c r="R44" s="2470"/>
      <c r="S44" s="2470"/>
      <c r="T44" s="2471"/>
    </row>
    <row r="45" spans="1:55" hidden="1">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row>
    <row r="46" spans="1:55" ht="15.75" thickTop="1">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row>
    <row r="47" spans="1:55">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row>
    <row r="48" spans="1:55">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row>
    <row r="49" spans="22:55">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row>
    <row r="50" spans="22:55">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row>
    <row r="51" spans="22:55">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row>
    <row r="52" spans="22:55">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row>
    <row r="53" spans="22:55">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row>
    <row r="54" spans="22:55">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row>
    <row r="55" spans="22:55">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row>
    <row r="56" spans="22:55">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row>
    <row r="57" spans="22:55">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row>
    <row r="58" spans="22:55">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row>
    <row r="59" spans="22:55">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row>
    <row r="60" spans="22:55">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row>
    <row r="61" spans="22:55">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row>
    <row r="62" spans="22:55">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row>
    <row r="63" spans="22:55">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row>
    <row r="64" spans="22:55">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row>
    <row r="65" spans="22:55">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row>
    <row r="66" spans="22:55">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row>
    <row r="67" spans="22:55">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row>
    <row r="68" spans="22:55">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row>
    <row r="69" spans="22:55">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row>
    <row r="70" spans="22:55">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row>
    <row r="71" spans="22:55">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row>
    <row r="72" spans="22:55">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row>
    <row r="73" spans="22:55">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row>
    <row r="74" spans="22:55">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row>
    <row r="75" spans="22:55">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row>
    <row r="76" spans="22:55">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row>
    <row r="77" spans="22:55">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row>
    <row r="78" spans="22:55">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row>
    <row r="79" spans="22:55">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row>
    <row r="80" spans="22:55">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row>
    <row r="81" spans="22:55">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row>
    <row r="82" spans="22:55">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row>
    <row r="83" spans="22:55">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row>
    <row r="84" spans="22:55">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row>
    <row r="85" spans="22:55">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row>
    <row r="86" spans="22:55">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row>
    <row r="87" spans="22:55">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row>
    <row r="88" spans="22:55">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row>
    <row r="89" spans="22:55">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row>
    <row r="90" spans="22:55">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row>
    <row r="91" spans="22:55">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row>
    <row r="92" spans="22:55">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row>
    <row r="93" spans="22:55">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row>
    <row r="94" spans="22:55">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row>
    <row r="95" spans="22:55">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row>
    <row r="96" spans="22:55">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row>
    <row r="97" spans="22:55">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row>
    <row r="98" spans="22:55">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row>
    <row r="99" spans="22:55">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row>
    <row r="100" spans="22:55">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row>
    <row r="101" spans="22:55">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row>
    <row r="102" spans="22:55">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row>
    <row r="103" spans="22:55">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row>
    <row r="104" spans="22:55">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row>
    <row r="105" spans="22:55">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row>
    <row r="106" spans="22:55">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row>
    <row r="107" spans="22:55">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row>
    <row r="108" spans="22:55">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row>
    <row r="109" spans="22:55">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row>
    <row r="110" spans="22:55">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row>
    <row r="111" spans="22:55">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row>
    <row r="112" spans="22:55">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row>
    <row r="113" spans="22:55">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row>
    <row r="114" spans="22:55">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row>
    <row r="115" spans="22:55">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row>
    <row r="116" spans="22:55">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row>
    <row r="117" spans="22:55">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row>
    <row r="118" spans="22:55">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row>
    <row r="119" spans="22:55">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row>
    <row r="120" spans="22:55">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row>
    <row r="121" spans="22:55">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row>
    <row r="122" spans="22:55">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row>
    <row r="123" spans="22:55">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row>
    <row r="124" spans="22:55">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row>
    <row r="125" spans="22:55">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row>
    <row r="126" spans="22:55">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row>
    <row r="127" spans="22:55">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row>
    <row r="128" spans="22:55">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row>
    <row r="129" spans="22:55">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row>
    <row r="130" spans="22:55">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row>
    <row r="131" spans="22:55">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row>
    <row r="132" spans="22:55">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row>
    <row r="133" spans="22:55">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row>
    <row r="134" spans="22:55">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row>
    <row r="135" spans="22:55">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row>
    <row r="136" spans="22:55">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row>
    <row r="137" spans="22:55">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row>
    <row r="138" spans="22:55">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row>
    <row r="139" spans="22:55">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row>
    <row r="140" spans="22:55">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row>
    <row r="141" spans="22:55">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row>
    <row r="142" spans="22:55">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row>
    <row r="143" spans="22:55">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row>
    <row r="144" spans="22:55">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row>
    <row r="145" spans="22:55">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row>
    <row r="146" spans="22:55">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row>
    <row r="147" spans="22:55">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row>
    <row r="148" spans="22:55">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row>
    <row r="149" spans="22:55">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row>
    <row r="150" spans="22:55">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row>
    <row r="151" spans="22:55">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row>
    <row r="152" spans="22:55">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row>
    <row r="153" spans="22:55">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row>
    <row r="154" spans="22:55">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row>
    <row r="155" spans="22:55">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row>
    <row r="173" spans="7:7">
      <c r="G173" s="1" t="s">
        <v>532</v>
      </c>
    </row>
  </sheetData>
  <mergeCells count="12">
    <mergeCell ref="A42:B42"/>
    <mergeCell ref="A43:T43"/>
    <mergeCell ref="A44:T44"/>
    <mergeCell ref="A1:T1"/>
    <mergeCell ref="A2:T2"/>
    <mergeCell ref="O3:T3"/>
    <mergeCell ref="R37:R38"/>
    <mergeCell ref="S37:S38"/>
    <mergeCell ref="T37:T38"/>
    <mergeCell ref="P37:P38"/>
    <mergeCell ref="Q37:Q38"/>
    <mergeCell ref="I39:Q39"/>
  </mergeCells>
  <phoneticPr fontId="44" type="noConversion"/>
  <conditionalFormatting sqref="U31:XFD42 AM4:XFD18 U4:U30 BA19:XFD30">
    <cfRule type="expression" dxfId="16" priority="4">
      <formula>MOD(ROW(),3)=1</formula>
    </cfRule>
  </conditionalFormatting>
  <conditionalFormatting sqref="A5:T42">
    <cfRule type="expression" dxfId="15" priority="1">
      <formula>MOD(ROW(),3)=1</formula>
    </cfRule>
  </conditionalFormatting>
  <pageMargins left="0.70866141732283472" right="0.70866141732283472" top="0.74803149606299213" bottom="0.74803149606299213" header="0.31496062992125984" footer="0.31496062992125984"/>
  <pageSetup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S171"/>
  <sheetViews>
    <sheetView view="pageBreakPreview" topLeftCell="E10" zoomScaleSheetLayoutView="100" workbookViewId="0">
      <selection activeCell="S17" sqref="S17"/>
    </sheetView>
  </sheetViews>
  <sheetFormatPr defaultColWidth="9.140625" defaultRowHeight="15"/>
  <cols>
    <col min="1" max="1" width="8.7109375" style="1" hidden="1" customWidth="1"/>
    <col min="2" max="2" width="46.28515625" style="1" hidden="1" customWidth="1"/>
    <col min="3" max="3" width="17.42578125" style="1" hidden="1" customWidth="1"/>
    <col min="4" max="4" width="60.7109375" style="1" hidden="1" customWidth="1"/>
    <col min="5" max="5" width="9.42578125" style="1" customWidth="1"/>
    <col min="6" max="6" width="59.28515625" style="1" customWidth="1"/>
    <col min="7" max="7" width="20.28515625" style="1" customWidth="1"/>
    <col min="8" max="8" width="52.5703125" style="1" customWidth="1"/>
    <col min="9" max="9" width="11.140625" style="1" customWidth="1"/>
    <col min="10" max="16384" width="9.140625" style="1"/>
  </cols>
  <sheetData>
    <row r="1" spans="1:19" s="7" customFormat="1" ht="20.100000000000001" customHeight="1" thickTop="1">
      <c r="A1" s="2193" t="s">
        <v>477</v>
      </c>
      <c r="B1" s="2193"/>
      <c r="C1" s="2193"/>
      <c r="D1" s="2193"/>
      <c r="E1" s="2229" t="s">
        <v>2817</v>
      </c>
      <c r="F1" s="2230"/>
      <c r="G1" s="2230"/>
      <c r="H1" s="2231"/>
    </row>
    <row r="2" spans="1:19" s="7" customFormat="1" ht="20.100000000000001" customHeight="1">
      <c r="A2" s="2193" t="s">
        <v>478</v>
      </c>
      <c r="B2" s="2193"/>
      <c r="C2" s="2193"/>
      <c r="D2" s="2193"/>
      <c r="E2" s="2224" t="s">
        <v>2818</v>
      </c>
      <c r="F2" s="2193"/>
      <c r="G2" s="2193"/>
      <c r="H2" s="2225"/>
    </row>
    <row r="3" spans="1:19" s="7" customFormat="1" ht="25.5" customHeight="1">
      <c r="A3" s="49"/>
      <c r="B3" s="49"/>
      <c r="C3" s="49"/>
      <c r="D3" s="49"/>
      <c r="E3" s="1140"/>
      <c r="F3" s="49"/>
      <c r="G3" s="49"/>
      <c r="H3" s="1141"/>
      <c r="S3" s="75">
        <v>2.5</v>
      </c>
    </row>
    <row r="4" spans="1:19" s="87" customFormat="1" ht="43.5" customHeight="1">
      <c r="A4" s="79" t="s">
        <v>520</v>
      </c>
      <c r="B4" s="97" t="s">
        <v>134</v>
      </c>
      <c r="C4" s="79" t="s">
        <v>220</v>
      </c>
      <c r="D4" s="203" t="s">
        <v>135</v>
      </c>
      <c r="E4" s="1122" t="s">
        <v>688</v>
      </c>
      <c r="F4" s="203" t="s">
        <v>135</v>
      </c>
      <c r="G4" s="79" t="s">
        <v>722</v>
      </c>
      <c r="H4" s="429" t="s">
        <v>134</v>
      </c>
    </row>
    <row r="5" spans="1:19" s="7" customFormat="1" ht="43.5" customHeight="1">
      <c r="A5" s="91">
        <v>1</v>
      </c>
      <c r="B5" s="5" t="s">
        <v>68</v>
      </c>
      <c r="C5" s="91" t="s">
        <v>69</v>
      </c>
      <c r="D5" s="105" t="s">
        <v>512</v>
      </c>
      <c r="E5" s="1157">
        <v>1</v>
      </c>
      <c r="F5" s="204" t="s">
        <v>527</v>
      </c>
      <c r="G5" s="91" t="s">
        <v>528</v>
      </c>
      <c r="H5" s="630" t="s">
        <v>525</v>
      </c>
    </row>
    <row r="6" spans="1:19" s="89" customFormat="1" ht="43.5" customHeight="1">
      <c r="A6" s="27">
        <v>2</v>
      </c>
      <c r="B6" s="5" t="s">
        <v>70</v>
      </c>
      <c r="C6" s="2" t="s">
        <v>71</v>
      </c>
      <c r="D6" s="105" t="s">
        <v>513</v>
      </c>
      <c r="E6" s="1157">
        <v>2</v>
      </c>
      <c r="F6" s="204" t="s">
        <v>526</v>
      </c>
      <c r="G6" s="91" t="s">
        <v>529</v>
      </c>
      <c r="H6" s="630" t="s">
        <v>70</v>
      </c>
      <c r="I6" s="1"/>
      <c r="K6" s="1"/>
      <c r="L6" s="1"/>
      <c r="M6" s="1"/>
      <c r="N6" s="1"/>
      <c r="O6" s="1"/>
      <c r="P6" s="1"/>
      <c r="Q6" s="1"/>
    </row>
    <row r="7" spans="1:19" ht="43.5" customHeight="1">
      <c r="A7" s="27">
        <v>3</v>
      </c>
      <c r="B7" s="12" t="s">
        <v>517</v>
      </c>
      <c r="C7" s="2" t="s">
        <v>72</v>
      </c>
      <c r="D7" s="106" t="s">
        <v>514</v>
      </c>
      <c r="E7" s="1157">
        <v>3</v>
      </c>
      <c r="F7" s="294" t="s">
        <v>646</v>
      </c>
      <c r="G7" s="91" t="s">
        <v>656</v>
      </c>
      <c r="H7" s="862" t="s">
        <v>678</v>
      </c>
    </row>
    <row r="8" spans="1:19" ht="43.5" customHeight="1">
      <c r="A8" s="27">
        <v>4</v>
      </c>
      <c r="B8" s="5" t="s">
        <v>73</v>
      </c>
      <c r="C8" s="2" t="s">
        <v>74</v>
      </c>
      <c r="D8" s="105" t="s">
        <v>515</v>
      </c>
      <c r="E8" s="1157">
        <v>4</v>
      </c>
      <c r="F8" s="105" t="s">
        <v>515</v>
      </c>
      <c r="G8" s="91" t="s">
        <v>531</v>
      </c>
      <c r="H8" s="630" t="s">
        <v>530</v>
      </c>
    </row>
    <row r="9" spans="1:19" ht="43.5" customHeight="1">
      <c r="A9" s="27"/>
      <c r="B9" s="5" t="s">
        <v>433</v>
      </c>
      <c r="C9" s="2" t="s">
        <v>75</v>
      </c>
      <c r="D9" s="204" t="s">
        <v>435</v>
      </c>
      <c r="E9" s="2489"/>
      <c r="F9" s="204" t="s">
        <v>435</v>
      </c>
      <c r="G9" s="91" t="s">
        <v>75</v>
      </c>
      <c r="H9" s="630" t="s">
        <v>433</v>
      </c>
    </row>
    <row r="10" spans="1:19" ht="43.5" customHeight="1">
      <c r="A10" s="27"/>
      <c r="B10" s="5" t="s">
        <v>516</v>
      </c>
      <c r="C10" s="2" t="s">
        <v>76</v>
      </c>
      <c r="D10" s="204" t="s">
        <v>434</v>
      </c>
      <c r="E10" s="2490"/>
      <c r="F10" s="204" t="s">
        <v>434</v>
      </c>
      <c r="G10" s="91" t="s">
        <v>806</v>
      </c>
      <c r="H10" s="630" t="s">
        <v>516</v>
      </c>
    </row>
    <row r="11" spans="1:19" s="7" customFormat="1" ht="36.75" customHeight="1">
      <c r="A11" s="32"/>
      <c r="C11" s="32"/>
      <c r="D11" s="65"/>
      <c r="E11" s="2486" t="s">
        <v>807</v>
      </c>
      <c r="F11" s="2487"/>
      <c r="G11" s="2487"/>
      <c r="H11" s="2488"/>
    </row>
    <row r="12" spans="1:19" s="7" customFormat="1" ht="20.100000000000001" customHeight="1">
      <c r="A12" s="7" t="s">
        <v>77</v>
      </c>
      <c r="E12" s="1136" t="s">
        <v>77</v>
      </c>
      <c r="H12" s="1137"/>
    </row>
    <row r="13" spans="1:19" ht="15.75" thickBot="1">
      <c r="E13" s="205" t="s">
        <v>677</v>
      </c>
      <c r="F13" s="206"/>
      <c r="G13" s="206"/>
      <c r="H13" s="168"/>
    </row>
    <row r="14" spans="1:19" ht="15.75" thickTop="1"/>
    <row r="17" spans="6:6">
      <c r="F17"/>
    </row>
    <row r="18" spans="6:6">
      <c r="F18"/>
    </row>
    <row r="19" spans="6:6">
      <c r="F19"/>
    </row>
    <row r="171" spans="7:7">
      <c r="G171" s="1" t="s">
        <v>532</v>
      </c>
    </row>
  </sheetData>
  <mergeCells count="6">
    <mergeCell ref="E11:H11"/>
    <mergeCell ref="A1:D1"/>
    <mergeCell ref="A2:D2"/>
    <mergeCell ref="E1:H1"/>
    <mergeCell ref="E2:H2"/>
    <mergeCell ref="E9:E10"/>
  </mergeCells>
  <conditionalFormatting sqref="K4:XFD10 I4:I10 A4:D10">
    <cfRule type="expression" dxfId="14" priority="3">
      <formula>MOD(ROW(),3)=1</formula>
    </cfRule>
  </conditionalFormatting>
  <conditionalFormatting sqref="E5:H10">
    <cfRule type="expression" dxfId="13" priority="1">
      <formula>MOD(ROW(),3)=1</formula>
    </cfRule>
  </conditionalFormatting>
  <printOptions horizontalCentered="1"/>
  <pageMargins left="0.70866141732283472" right="0.70866141732283472" top="0.51181102362204722" bottom="0.39370078740157483" header="0.31496062992125984" footer="0.31496062992125984"/>
  <pageSetup paperSize="9" scale="83" orientation="landscape" r:id="rId1"/>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S172"/>
  <sheetViews>
    <sheetView view="pageBreakPreview" zoomScaleSheetLayoutView="100" workbookViewId="0">
      <selection activeCell="S17" sqref="S17"/>
    </sheetView>
  </sheetViews>
  <sheetFormatPr defaultColWidth="9.140625" defaultRowHeight="15"/>
  <cols>
    <col min="1" max="1" width="7.42578125" customWidth="1"/>
    <col min="2" max="2" width="64.5703125" customWidth="1"/>
    <col min="3" max="3" width="16.140625" customWidth="1"/>
    <col min="4" max="5" width="11" customWidth="1"/>
    <col min="6" max="7" width="10.85546875" customWidth="1"/>
    <col min="8" max="8" width="48.85546875" customWidth="1"/>
  </cols>
  <sheetData>
    <row r="1" spans="1:19" s="9" customFormat="1" ht="20.100000000000001" customHeight="1" thickTop="1">
      <c r="A1" s="2229" t="s">
        <v>2819</v>
      </c>
      <c r="B1" s="2303"/>
      <c r="C1" s="2303"/>
      <c r="D1" s="2303"/>
      <c r="E1" s="2303"/>
      <c r="F1" s="2303"/>
      <c r="G1" s="2303"/>
      <c r="H1" s="2304"/>
    </row>
    <row r="2" spans="1:19" s="9" customFormat="1" ht="20.100000000000001" customHeight="1">
      <c r="A2" s="2253" t="s">
        <v>2820</v>
      </c>
      <c r="B2" s="2192"/>
      <c r="C2" s="2192"/>
      <c r="D2" s="2192"/>
      <c r="E2" s="2192"/>
      <c r="F2" s="2192"/>
      <c r="G2" s="2192"/>
      <c r="H2" s="2254"/>
    </row>
    <row r="3" spans="1:19" s="9" customFormat="1" ht="20.100000000000001" customHeight="1">
      <c r="A3" s="1151"/>
      <c r="B3" s="382"/>
      <c r="C3" s="382"/>
      <c r="D3" s="382"/>
      <c r="E3" s="382"/>
      <c r="F3" s="382"/>
      <c r="G3" s="382"/>
      <c r="H3" s="1152"/>
      <c r="S3" s="372">
        <v>2.5</v>
      </c>
    </row>
    <row r="4" spans="1:19" s="98" customFormat="1" ht="98.25" customHeight="1">
      <c r="A4" s="1928" t="s">
        <v>688</v>
      </c>
      <c r="B4" s="1929" t="s">
        <v>238</v>
      </c>
      <c r="C4" s="1908" t="s">
        <v>726</v>
      </c>
      <c r="D4" s="2324" t="s">
        <v>727</v>
      </c>
      <c r="E4" s="2324"/>
      <c r="F4" s="2324" t="s">
        <v>728</v>
      </c>
      <c r="G4" s="2324"/>
      <c r="H4" s="1921" t="s">
        <v>78</v>
      </c>
    </row>
    <row r="5" spans="1:19" s="99" customFormat="1" ht="34.5" customHeight="1">
      <c r="A5" s="1928"/>
      <c r="B5" s="1929"/>
      <c r="C5" s="1908"/>
      <c r="D5" s="1714">
        <v>2025</v>
      </c>
      <c r="E5" s="1714">
        <v>2050</v>
      </c>
      <c r="F5" s="1714">
        <v>2025</v>
      </c>
      <c r="G5" s="1714">
        <v>2050</v>
      </c>
      <c r="H5" s="1921"/>
    </row>
    <row r="6" spans="1:19" s="88" customFormat="1" ht="20.100000000000001" customHeight="1">
      <c r="A6" s="145">
        <v>1</v>
      </c>
      <c r="B6" s="230" t="s">
        <v>725</v>
      </c>
      <c r="C6" s="227">
        <v>45.53</v>
      </c>
      <c r="D6" s="119">
        <v>69.2</v>
      </c>
      <c r="E6" s="119">
        <v>81.41</v>
      </c>
      <c r="F6" s="119">
        <v>657.95</v>
      </c>
      <c r="G6" s="119">
        <v>559.27</v>
      </c>
      <c r="H6" s="630" t="s">
        <v>79</v>
      </c>
      <c r="J6" s="9"/>
      <c r="K6" s="9"/>
      <c r="L6" s="9"/>
      <c r="M6" s="9"/>
      <c r="N6" s="9"/>
      <c r="O6" s="9"/>
      <c r="P6" s="9"/>
      <c r="Q6" s="9"/>
    </row>
    <row r="7" spans="1:19" s="9" customFormat="1" ht="20.100000000000001" customHeight="1">
      <c r="A7" s="198">
        <v>2</v>
      </c>
      <c r="B7" s="115" t="s">
        <v>221</v>
      </c>
      <c r="C7" s="227">
        <v>509.52</v>
      </c>
      <c r="D7" s="119">
        <v>593.04</v>
      </c>
      <c r="E7" s="119">
        <v>697.69</v>
      </c>
      <c r="F7" s="119">
        <v>859.17</v>
      </c>
      <c r="G7" s="119">
        <v>730.3</v>
      </c>
      <c r="H7" s="1459" t="s">
        <v>80</v>
      </c>
    </row>
    <row r="8" spans="1:19" s="9" customFormat="1" ht="20.100000000000001" customHeight="1">
      <c r="A8" s="198"/>
      <c r="B8" s="115" t="s">
        <v>222</v>
      </c>
      <c r="C8" s="227">
        <v>613.95000000000005</v>
      </c>
      <c r="D8" s="119">
        <f>48.06+10.24</f>
        <v>58.300000000000004</v>
      </c>
      <c r="E8" s="119">
        <f>12.05+56.54</f>
        <v>68.59</v>
      </c>
      <c r="F8" s="119">
        <f>10971.29+8463.87</f>
        <v>19435.160000000003</v>
      </c>
      <c r="G8" s="119">
        <f>9325.79+7192.53</f>
        <v>16518.32</v>
      </c>
      <c r="H8" s="1459" t="s">
        <v>81</v>
      </c>
    </row>
    <row r="9" spans="1:19" s="9" customFormat="1" ht="20.100000000000001" customHeight="1">
      <c r="A9" s="145">
        <v>3</v>
      </c>
      <c r="B9" s="229" t="s">
        <v>223</v>
      </c>
      <c r="C9" s="227">
        <v>117.74</v>
      </c>
      <c r="D9" s="119">
        <v>89.18</v>
      </c>
      <c r="E9" s="119">
        <v>104.92</v>
      </c>
      <c r="F9" s="119">
        <v>1320.25</v>
      </c>
      <c r="G9" s="119">
        <v>1122.19</v>
      </c>
      <c r="H9" s="630" t="s">
        <v>82</v>
      </c>
    </row>
    <row r="10" spans="1:19" s="9" customFormat="1" ht="20.100000000000001" customHeight="1">
      <c r="A10" s="145">
        <v>4</v>
      </c>
      <c r="B10" s="229" t="s">
        <v>224</v>
      </c>
      <c r="C10" s="227">
        <v>89.04</v>
      </c>
      <c r="D10" s="119">
        <v>100.41</v>
      </c>
      <c r="E10" s="119">
        <v>118.13</v>
      </c>
      <c r="F10" s="119">
        <v>886.76</v>
      </c>
      <c r="G10" s="119">
        <v>753.75</v>
      </c>
      <c r="H10" s="630" t="s">
        <v>83</v>
      </c>
    </row>
    <row r="11" spans="1:19" s="9" customFormat="1" ht="20.100000000000001" customHeight="1">
      <c r="A11" s="145">
        <v>5</v>
      </c>
      <c r="B11" s="229" t="s">
        <v>225</v>
      </c>
      <c r="C11" s="227">
        <v>27.67</v>
      </c>
      <c r="D11" s="119">
        <v>48.39</v>
      </c>
      <c r="E11" s="119">
        <v>56.93</v>
      </c>
      <c r="F11" s="119">
        <v>571.80999999999995</v>
      </c>
      <c r="G11" s="119">
        <v>486.04</v>
      </c>
      <c r="H11" s="630" t="s">
        <v>84</v>
      </c>
    </row>
    <row r="12" spans="1:19" s="9" customFormat="1" ht="20.100000000000001" customHeight="1">
      <c r="A12" s="145">
        <v>6</v>
      </c>
      <c r="B12" s="229" t="s">
        <v>226</v>
      </c>
      <c r="C12" s="227">
        <v>11.02</v>
      </c>
      <c r="D12" s="119">
        <v>16.02</v>
      </c>
      <c r="E12" s="119">
        <v>18.850000000000001</v>
      </c>
      <c r="F12" s="119">
        <v>687.89</v>
      </c>
      <c r="G12" s="119">
        <v>584.62</v>
      </c>
      <c r="H12" s="630" t="s">
        <v>85</v>
      </c>
    </row>
    <row r="13" spans="1:19" s="9" customFormat="1" ht="20.100000000000001" customHeight="1">
      <c r="A13" s="145">
        <v>7</v>
      </c>
      <c r="B13" s="229" t="s">
        <v>227</v>
      </c>
      <c r="C13" s="228">
        <v>26.41</v>
      </c>
      <c r="D13" s="55">
        <v>38.97</v>
      </c>
      <c r="E13" s="55">
        <v>45.85</v>
      </c>
      <c r="F13" s="119">
        <v>677.7</v>
      </c>
      <c r="G13" s="119">
        <v>576.01</v>
      </c>
      <c r="H13" s="630" t="s">
        <v>86</v>
      </c>
    </row>
    <row r="14" spans="1:19" s="9" customFormat="1" ht="20.100000000000001" customHeight="1">
      <c r="A14" s="145">
        <v>8</v>
      </c>
      <c r="B14" s="229" t="s">
        <v>228</v>
      </c>
      <c r="C14" s="228">
        <v>26.74</v>
      </c>
      <c r="D14" s="55">
        <v>74.319999999999993</v>
      </c>
      <c r="E14" s="55">
        <v>87.43</v>
      </c>
      <c r="F14" s="119">
        <v>359.8</v>
      </c>
      <c r="G14" s="119">
        <v>305.83999999999997</v>
      </c>
      <c r="H14" s="862" t="s">
        <v>87</v>
      </c>
    </row>
    <row r="15" spans="1:19" s="9" customFormat="1" ht="20.100000000000001" customHeight="1">
      <c r="A15" s="145">
        <v>9</v>
      </c>
      <c r="B15" s="229" t="s">
        <v>229</v>
      </c>
      <c r="C15" s="228">
        <v>73</v>
      </c>
      <c r="D15" s="55">
        <v>43.93</v>
      </c>
      <c r="E15" s="55">
        <v>51.68</v>
      </c>
      <c r="F15" s="119">
        <v>1661.73</v>
      </c>
      <c r="G15" s="119">
        <v>1412.54</v>
      </c>
      <c r="H15" s="630" t="s">
        <v>88</v>
      </c>
    </row>
    <row r="16" spans="1:19" s="9" customFormat="1" ht="20.100000000000001" customHeight="1">
      <c r="A16" s="145">
        <v>10</v>
      </c>
      <c r="B16" s="229" t="s">
        <v>230</v>
      </c>
      <c r="C16" s="228">
        <v>35.65</v>
      </c>
      <c r="D16" s="55">
        <v>16.18</v>
      </c>
      <c r="E16" s="55">
        <v>19.04</v>
      </c>
      <c r="F16" s="119">
        <v>2203.34</v>
      </c>
      <c r="G16" s="119">
        <v>1872.37</v>
      </c>
      <c r="H16" s="630" t="s">
        <v>89</v>
      </c>
    </row>
    <row r="17" spans="1:8" s="9" customFormat="1" ht="20.100000000000001" customHeight="1">
      <c r="A17" s="145">
        <v>11</v>
      </c>
      <c r="B17" s="229" t="s">
        <v>231</v>
      </c>
      <c r="C17" s="228">
        <v>15.05</v>
      </c>
      <c r="D17" s="55">
        <v>15.52</v>
      </c>
      <c r="E17" s="55">
        <v>18.260000000000002</v>
      </c>
      <c r="F17" s="119">
        <v>969.72</v>
      </c>
      <c r="G17" s="119">
        <v>824.21</v>
      </c>
      <c r="H17" s="630" t="s">
        <v>90</v>
      </c>
    </row>
    <row r="18" spans="1:8" s="9" customFormat="1" ht="20.100000000000001" customHeight="1">
      <c r="A18" s="145">
        <v>12</v>
      </c>
      <c r="B18" s="229" t="s">
        <v>232</v>
      </c>
      <c r="C18" s="228">
        <v>12.96</v>
      </c>
      <c r="D18" s="55">
        <v>17.34</v>
      </c>
      <c r="E18" s="55">
        <v>20.399999999999999</v>
      </c>
      <c r="F18" s="119">
        <v>747.4</v>
      </c>
      <c r="G18" s="119">
        <v>635.29</v>
      </c>
      <c r="H18" s="630" t="s">
        <v>91</v>
      </c>
    </row>
    <row r="19" spans="1:8" s="9" customFormat="1" ht="20.100000000000001" customHeight="1">
      <c r="A19" s="145">
        <v>13</v>
      </c>
      <c r="B19" s="229" t="s">
        <v>233</v>
      </c>
      <c r="C19" s="228">
        <v>14.96</v>
      </c>
      <c r="D19" s="55">
        <v>17.34</v>
      </c>
      <c r="E19" s="55">
        <v>20.399999999999999</v>
      </c>
      <c r="F19" s="119">
        <v>862.75</v>
      </c>
      <c r="G19" s="119">
        <v>733.33</v>
      </c>
      <c r="H19" s="630" t="s">
        <v>92</v>
      </c>
    </row>
    <row r="20" spans="1:8" s="9" customFormat="1" ht="20.100000000000001" customHeight="1">
      <c r="A20" s="145">
        <v>14</v>
      </c>
      <c r="B20" s="230" t="s">
        <v>724</v>
      </c>
      <c r="C20" s="228">
        <v>26.93</v>
      </c>
      <c r="D20" s="55">
        <v>36.5</v>
      </c>
      <c r="E20" s="55">
        <v>42.94</v>
      </c>
      <c r="F20" s="119">
        <v>737.81</v>
      </c>
      <c r="G20" s="119">
        <v>627.15</v>
      </c>
      <c r="H20" s="855" t="s">
        <v>93</v>
      </c>
    </row>
    <row r="21" spans="1:8" s="9" customFormat="1" ht="20.100000000000001" customHeight="1">
      <c r="A21" s="145">
        <v>15</v>
      </c>
      <c r="B21" s="229" t="s">
        <v>234</v>
      </c>
      <c r="C21" s="228">
        <v>58.21</v>
      </c>
      <c r="D21" s="55">
        <v>24.28</v>
      </c>
      <c r="E21" s="55">
        <v>28.56</v>
      </c>
      <c r="F21" s="119">
        <v>2397.4499999999998</v>
      </c>
      <c r="G21" s="119">
        <v>2038.17</v>
      </c>
      <c r="H21" s="630" t="s">
        <v>94</v>
      </c>
    </row>
    <row r="22" spans="1:8" s="9" customFormat="1" ht="20.100000000000001" customHeight="1">
      <c r="A22" s="145">
        <v>16</v>
      </c>
      <c r="B22" s="229" t="s">
        <v>235</v>
      </c>
      <c r="C22" s="228">
        <v>26.24</v>
      </c>
      <c r="D22" s="55">
        <v>24.44</v>
      </c>
      <c r="E22" s="55">
        <v>28.75</v>
      </c>
      <c r="F22" s="119">
        <v>1073.6500000000001</v>
      </c>
      <c r="G22" s="119">
        <v>912.7</v>
      </c>
      <c r="H22" s="630" t="s">
        <v>95</v>
      </c>
    </row>
    <row r="23" spans="1:8" s="9" customFormat="1" ht="20.100000000000001" customHeight="1">
      <c r="A23" s="145">
        <v>17</v>
      </c>
      <c r="B23" s="229" t="s">
        <v>236</v>
      </c>
      <c r="C23" s="228">
        <v>118.35</v>
      </c>
      <c r="D23" s="55">
        <v>42.61</v>
      </c>
      <c r="E23" s="55">
        <v>50.13</v>
      </c>
      <c r="F23" s="119">
        <v>2777.52</v>
      </c>
      <c r="G23" s="119">
        <v>2360.86</v>
      </c>
      <c r="H23" s="630" t="s">
        <v>96</v>
      </c>
    </row>
    <row r="24" spans="1:8" s="9" customFormat="1" ht="20.100000000000001" customHeight="1">
      <c r="A24" s="145">
        <v>18</v>
      </c>
      <c r="B24" s="229" t="s">
        <v>237</v>
      </c>
      <c r="C24" s="228">
        <v>119.06</v>
      </c>
      <c r="D24" s="55">
        <v>53.84</v>
      </c>
      <c r="E24" s="55">
        <v>63.34</v>
      </c>
      <c r="F24" s="119">
        <v>2211.37</v>
      </c>
      <c r="G24" s="119">
        <v>1879.7</v>
      </c>
      <c r="H24" s="630" t="s">
        <v>97</v>
      </c>
    </row>
    <row r="25" spans="1:8" s="9" customFormat="1" ht="20.100000000000001" customHeight="1">
      <c r="A25" s="145">
        <v>19</v>
      </c>
      <c r="B25" s="229" t="s">
        <v>239</v>
      </c>
      <c r="C25" s="1128" t="s">
        <v>99</v>
      </c>
      <c r="D25" s="5">
        <v>11.73</v>
      </c>
      <c r="E25" s="3">
        <v>13.79</v>
      </c>
      <c r="F25" s="28" t="s">
        <v>47</v>
      </c>
      <c r="G25" s="28" t="s">
        <v>47</v>
      </c>
      <c r="H25" s="630" t="s">
        <v>98</v>
      </c>
    </row>
    <row r="26" spans="1:8" s="9" customFormat="1" ht="20.100000000000001" customHeight="1">
      <c r="A26" s="145">
        <v>20</v>
      </c>
      <c r="B26" s="229" t="s">
        <v>240</v>
      </c>
      <c r="C26" s="1128">
        <v>31.17</v>
      </c>
      <c r="D26" s="5">
        <v>2.48</v>
      </c>
      <c r="E26" s="3">
        <v>2.91</v>
      </c>
      <c r="F26" s="28">
        <v>12568.55</v>
      </c>
      <c r="G26" s="28">
        <v>10711.34</v>
      </c>
      <c r="H26" s="630" t="s">
        <v>100</v>
      </c>
    </row>
    <row r="27" spans="1:8" s="9" customFormat="1" ht="24.75" customHeight="1">
      <c r="A27" s="2491" t="s">
        <v>143</v>
      </c>
      <c r="B27" s="2492"/>
      <c r="C27" s="55">
        <f>SUM(C6:C26)</f>
        <v>1999.2000000000003</v>
      </c>
      <c r="D27" s="55">
        <f>SUM(D6:D26)</f>
        <v>1394.0199999999998</v>
      </c>
      <c r="E27" s="55">
        <f t="shared" ref="E27" si="0">SUM(E6:E26)</f>
        <v>1640.0000000000002</v>
      </c>
      <c r="F27" s="30"/>
      <c r="G27" s="30"/>
      <c r="H27" s="199" t="s">
        <v>723</v>
      </c>
    </row>
    <row r="28" spans="1:8" ht="20.100000000000001" customHeight="1">
      <c r="A28" s="201" t="s">
        <v>638</v>
      </c>
      <c r="B28" s="1460"/>
      <c r="C28" s="1461"/>
      <c r="D28" s="6"/>
      <c r="E28" s="6"/>
      <c r="F28" s="61"/>
      <c r="G28" s="61"/>
      <c r="H28" s="200"/>
    </row>
    <row r="29" spans="1:8" ht="20.100000000000001" customHeight="1">
      <c r="A29" s="201" t="s">
        <v>637</v>
      </c>
      <c r="B29" s="1462"/>
      <c r="C29" s="383"/>
      <c r="E29" s="6"/>
      <c r="F29" s="1463"/>
      <c r="G29" s="61"/>
      <c r="H29" s="202"/>
    </row>
    <row r="30" spans="1:8" ht="20.100000000000001" customHeight="1">
      <c r="A30" s="138" t="s">
        <v>277</v>
      </c>
      <c r="H30" s="202"/>
    </row>
    <row r="31" spans="1:8" ht="20.100000000000001" customHeight="1" thickBot="1">
      <c r="A31" s="179" t="s">
        <v>280</v>
      </c>
      <c r="B31" s="181"/>
      <c r="C31" s="181"/>
      <c r="D31" s="181"/>
      <c r="E31" s="181"/>
      <c r="F31" s="181"/>
      <c r="G31" s="181"/>
      <c r="H31" s="195"/>
    </row>
    <row r="32" spans="1:8" ht="15.75" thickTop="1"/>
    <row r="45" spans="2:2">
      <c r="B45" s="6"/>
    </row>
    <row r="172" spans="7:7">
      <c r="G172" s="1" t="s">
        <v>532</v>
      </c>
    </row>
  </sheetData>
  <mergeCells count="9">
    <mergeCell ref="A27:B27"/>
    <mergeCell ref="D4:E4"/>
    <mergeCell ref="F4:G4"/>
    <mergeCell ref="A1:H1"/>
    <mergeCell ref="A2:H2"/>
    <mergeCell ref="H4:H5"/>
    <mergeCell ref="A4:A5"/>
    <mergeCell ref="B4:B5"/>
    <mergeCell ref="C4:C5"/>
  </mergeCells>
  <conditionalFormatting sqref="J4:XFD27 I27">
    <cfRule type="expression" dxfId="12" priority="2">
      <formula>MOD(ROW(),3)=1</formula>
    </cfRule>
  </conditionalFormatting>
  <conditionalFormatting sqref="A6:H27">
    <cfRule type="expression" dxfId="11" priority="1">
      <formula>MOD(ROW(),3)=1</formula>
    </cfRule>
  </conditionalFormatting>
  <printOptions horizontalCentered="1" verticalCentered="1"/>
  <pageMargins left="3.937007874015748E-2" right="0" top="7.874015748031496E-2" bottom="3.937007874015748E-2" header="3.937007874015748E-2" footer="0"/>
  <pageSetup paperSize="9" scale="68"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S173"/>
  <sheetViews>
    <sheetView view="pageBreakPreview" zoomScaleSheetLayoutView="100" workbookViewId="0">
      <selection activeCell="S17" sqref="S17"/>
    </sheetView>
  </sheetViews>
  <sheetFormatPr defaultColWidth="9.140625" defaultRowHeight="15"/>
  <cols>
    <col min="1" max="1" width="9.140625" style="273"/>
    <col min="2" max="12" width="12.7109375" style="273" customWidth="1"/>
    <col min="13" max="16384" width="9.140625" style="273"/>
  </cols>
  <sheetData>
    <row r="1" spans="1:19" s="295" customFormat="1" ht="25.5" customHeight="1" thickTop="1">
      <c r="A1" s="2498" t="s">
        <v>2821</v>
      </c>
      <c r="B1" s="2499"/>
      <c r="C1" s="2499"/>
      <c r="D1" s="2499"/>
      <c r="E1" s="2499"/>
      <c r="F1" s="2499"/>
      <c r="G1" s="2499"/>
      <c r="H1" s="2499"/>
      <c r="I1" s="2499"/>
      <c r="J1" s="2499"/>
      <c r="K1" s="2499"/>
      <c r="L1" s="2500"/>
    </row>
    <row r="2" spans="1:19" s="295" customFormat="1" ht="25.5" customHeight="1">
      <c r="A2" s="2501" t="s">
        <v>2822</v>
      </c>
      <c r="B2" s="2502"/>
      <c r="C2" s="2502"/>
      <c r="D2" s="2502"/>
      <c r="E2" s="2502"/>
      <c r="F2" s="2502"/>
      <c r="G2" s="2502"/>
      <c r="H2" s="2502"/>
      <c r="I2" s="2502"/>
      <c r="J2" s="2502"/>
      <c r="K2" s="2502"/>
      <c r="L2" s="2503"/>
    </row>
    <row r="3" spans="1:19" s="296" customFormat="1" ht="25.5" customHeight="1">
      <c r="A3" s="2504" t="s">
        <v>732</v>
      </c>
      <c r="B3" s="2505"/>
      <c r="C3" s="2505"/>
      <c r="D3" s="2505"/>
      <c r="E3" s="2505"/>
      <c r="F3" s="2505"/>
      <c r="G3" s="2505"/>
      <c r="H3" s="2505"/>
      <c r="I3" s="2505"/>
      <c r="J3" s="2505"/>
      <c r="K3" s="2505"/>
      <c r="L3" s="2506"/>
      <c r="S3" s="376"/>
    </row>
    <row r="4" spans="1:19" s="297" customFormat="1" ht="30" customHeight="1">
      <c r="A4" s="2508" t="s">
        <v>688</v>
      </c>
      <c r="B4" s="2507" t="s">
        <v>212</v>
      </c>
      <c r="C4" s="2510" t="s">
        <v>730</v>
      </c>
      <c r="D4" s="2493"/>
      <c r="E4" s="2493"/>
      <c r="F4" s="2493"/>
      <c r="G4" s="2493"/>
      <c r="H4" s="2493"/>
      <c r="I4" s="2493"/>
      <c r="J4" s="2493"/>
      <c r="K4" s="2493"/>
      <c r="L4" s="2509" t="s">
        <v>254</v>
      </c>
    </row>
    <row r="5" spans="1:19" s="297" customFormat="1" ht="75.75" customHeight="1">
      <c r="A5" s="2508"/>
      <c r="B5" s="2507"/>
      <c r="C5" s="2510" t="s">
        <v>729</v>
      </c>
      <c r="D5" s="2511"/>
      <c r="E5" s="2511"/>
      <c r="F5" s="2511" t="s">
        <v>731</v>
      </c>
      <c r="G5" s="2511"/>
      <c r="H5" s="2511"/>
      <c r="I5" s="2511"/>
      <c r="J5" s="2511"/>
      <c r="K5" s="2511"/>
      <c r="L5" s="2509"/>
    </row>
    <row r="6" spans="1:19" s="297" customFormat="1" ht="20.100000000000001" customHeight="1">
      <c r="A6" s="2508"/>
      <c r="B6" s="2507"/>
      <c r="C6" s="2512">
        <v>2010</v>
      </c>
      <c r="D6" s="2493">
        <v>2025</v>
      </c>
      <c r="E6" s="2493">
        <v>2050</v>
      </c>
      <c r="F6" s="2493">
        <v>2010</v>
      </c>
      <c r="G6" s="2493"/>
      <c r="H6" s="2493">
        <v>2025</v>
      </c>
      <c r="I6" s="2493"/>
      <c r="J6" s="2493">
        <v>2050</v>
      </c>
      <c r="K6" s="2493"/>
      <c r="L6" s="2509"/>
    </row>
    <row r="7" spans="1:19" s="297" customFormat="1" ht="30" customHeight="1">
      <c r="A7" s="2508"/>
      <c r="B7" s="2507"/>
      <c r="C7" s="2512"/>
      <c r="D7" s="2493"/>
      <c r="E7" s="2493"/>
      <c r="F7" s="1163" t="s">
        <v>733</v>
      </c>
      <c r="G7" s="1163" t="s">
        <v>734</v>
      </c>
      <c r="H7" s="1163" t="s">
        <v>733</v>
      </c>
      <c r="I7" s="1163" t="s">
        <v>734</v>
      </c>
      <c r="J7" s="1163" t="s">
        <v>733</v>
      </c>
      <c r="K7" s="1163" t="s">
        <v>734</v>
      </c>
      <c r="L7" s="2509"/>
    </row>
    <row r="8" spans="1:19" s="295" customFormat="1" ht="20.100000000000001" customHeight="1">
      <c r="A8" s="298">
        <v>1</v>
      </c>
      <c r="B8" s="299" t="s">
        <v>207</v>
      </c>
      <c r="C8" s="300">
        <v>688</v>
      </c>
      <c r="D8" s="301">
        <v>910</v>
      </c>
      <c r="E8" s="301">
        <v>1072</v>
      </c>
      <c r="F8" s="301">
        <v>543</v>
      </c>
      <c r="G8" s="301">
        <v>557</v>
      </c>
      <c r="H8" s="301">
        <v>561</v>
      </c>
      <c r="I8" s="301">
        <v>611</v>
      </c>
      <c r="J8" s="301">
        <v>628</v>
      </c>
      <c r="K8" s="301">
        <v>807</v>
      </c>
      <c r="L8" s="1464" t="s">
        <v>112</v>
      </c>
    </row>
    <row r="9" spans="1:19" s="295" customFormat="1" ht="20.100000000000001" customHeight="1">
      <c r="A9" s="298">
        <v>2</v>
      </c>
      <c r="B9" s="299" t="s">
        <v>208</v>
      </c>
      <c r="C9" s="300">
        <v>56</v>
      </c>
      <c r="D9" s="301">
        <v>73</v>
      </c>
      <c r="E9" s="301">
        <v>102</v>
      </c>
      <c r="F9" s="301">
        <v>42</v>
      </c>
      <c r="G9" s="301">
        <v>43</v>
      </c>
      <c r="H9" s="301">
        <v>55</v>
      </c>
      <c r="I9" s="301">
        <v>62</v>
      </c>
      <c r="J9" s="301">
        <v>90</v>
      </c>
      <c r="K9" s="301">
        <v>111</v>
      </c>
      <c r="L9" s="1464" t="s">
        <v>113</v>
      </c>
    </row>
    <row r="10" spans="1:19" s="295" customFormat="1" ht="20.100000000000001" customHeight="1">
      <c r="A10" s="298">
        <v>3</v>
      </c>
      <c r="B10" s="299" t="s">
        <v>209</v>
      </c>
      <c r="C10" s="300">
        <v>12</v>
      </c>
      <c r="D10" s="301">
        <v>23</v>
      </c>
      <c r="E10" s="301">
        <v>63</v>
      </c>
      <c r="F10" s="301">
        <v>37</v>
      </c>
      <c r="G10" s="301">
        <v>37</v>
      </c>
      <c r="H10" s="301">
        <v>67</v>
      </c>
      <c r="I10" s="301">
        <v>67</v>
      </c>
      <c r="J10" s="301">
        <v>81</v>
      </c>
      <c r="K10" s="301">
        <v>81</v>
      </c>
      <c r="L10" s="1464" t="s">
        <v>114</v>
      </c>
    </row>
    <row r="11" spans="1:19" s="295" customFormat="1" ht="20.100000000000001" customHeight="1">
      <c r="A11" s="298">
        <v>4</v>
      </c>
      <c r="B11" s="299" t="s">
        <v>210</v>
      </c>
      <c r="C11" s="300">
        <v>5</v>
      </c>
      <c r="D11" s="301">
        <v>15</v>
      </c>
      <c r="E11" s="301">
        <v>130</v>
      </c>
      <c r="F11" s="301">
        <v>18</v>
      </c>
      <c r="G11" s="301">
        <v>19</v>
      </c>
      <c r="H11" s="301">
        <v>31</v>
      </c>
      <c r="I11" s="301">
        <v>33</v>
      </c>
      <c r="J11" s="301">
        <v>63</v>
      </c>
      <c r="K11" s="301">
        <v>70</v>
      </c>
      <c r="L11" s="1464" t="s">
        <v>115</v>
      </c>
    </row>
    <row r="12" spans="1:19" s="295" customFormat="1" ht="20.100000000000001" customHeight="1">
      <c r="A12" s="298">
        <v>5</v>
      </c>
      <c r="B12" s="299" t="s">
        <v>211</v>
      </c>
      <c r="C12" s="300">
        <v>52</v>
      </c>
      <c r="D12" s="301">
        <v>72</v>
      </c>
      <c r="E12" s="301">
        <v>80</v>
      </c>
      <c r="F12" s="301">
        <v>54</v>
      </c>
      <c r="G12" s="301">
        <v>54</v>
      </c>
      <c r="H12" s="301">
        <v>70</v>
      </c>
      <c r="I12" s="301">
        <v>70</v>
      </c>
      <c r="J12" s="301">
        <v>111</v>
      </c>
      <c r="K12" s="301">
        <v>111</v>
      </c>
      <c r="L12" s="1464" t="s">
        <v>116</v>
      </c>
    </row>
    <row r="13" spans="1:19" s="295" customFormat="1" ht="20.100000000000001" customHeight="1">
      <c r="A13" s="298">
        <v>6</v>
      </c>
      <c r="B13" s="302" t="s">
        <v>143</v>
      </c>
      <c r="C13" s="303">
        <v>813</v>
      </c>
      <c r="D13" s="304">
        <v>1093</v>
      </c>
      <c r="E13" s="304">
        <v>1447</v>
      </c>
      <c r="F13" s="304">
        <v>694</v>
      </c>
      <c r="G13" s="304">
        <v>710</v>
      </c>
      <c r="H13" s="304">
        <v>784</v>
      </c>
      <c r="I13" s="304">
        <v>843</v>
      </c>
      <c r="J13" s="304">
        <v>973</v>
      </c>
      <c r="K13" s="304">
        <v>1180</v>
      </c>
      <c r="L13" s="1465" t="s">
        <v>0</v>
      </c>
    </row>
    <row r="14" spans="1:19" s="295" customFormat="1" ht="21.95" customHeight="1">
      <c r="A14" s="305"/>
      <c r="B14" s="1466"/>
      <c r="C14" s="1467"/>
      <c r="D14" s="1467"/>
      <c r="E14" s="1467"/>
      <c r="F14" s="1467"/>
      <c r="G14" s="1467"/>
      <c r="H14" s="1467"/>
      <c r="I14" s="1467"/>
      <c r="J14" s="1467"/>
      <c r="K14" s="1467"/>
      <c r="L14" s="306"/>
    </row>
    <row r="15" spans="1:19" s="295" customFormat="1" ht="41.25" customHeight="1">
      <c r="A15" s="2494" t="s">
        <v>684</v>
      </c>
      <c r="B15" s="2495"/>
      <c r="C15" s="2495"/>
      <c r="D15" s="2495"/>
      <c r="E15" s="2495"/>
      <c r="F15" s="2495"/>
      <c r="G15" s="2495"/>
      <c r="H15" s="2495"/>
      <c r="I15" s="2495"/>
      <c r="J15" s="2495"/>
      <c r="K15" s="2495"/>
      <c r="L15" s="2496"/>
    </row>
    <row r="16" spans="1:19" s="307" customFormat="1" ht="44.25" customHeight="1">
      <c r="A16" s="2497" t="s">
        <v>683</v>
      </c>
      <c r="B16" s="2495"/>
      <c r="C16" s="2495"/>
      <c r="D16" s="2495"/>
      <c r="E16" s="2495"/>
      <c r="F16" s="2495"/>
      <c r="G16" s="2495"/>
      <c r="H16" s="2495"/>
      <c r="I16" s="2495"/>
      <c r="J16" s="2495"/>
      <c r="K16" s="2495"/>
      <c r="L16" s="2496"/>
    </row>
    <row r="17" spans="1:12" s="307" customFormat="1" ht="20.100000000000001" customHeight="1">
      <c r="A17" s="308" t="s">
        <v>117</v>
      </c>
      <c r="B17" s="1468"/>
      <c r="C17" s="1468"/>
      <c r="D17" s="1468"/>
      <c r="E17" s="1468"/>
      <c r="F17" s="1468"/>
      <c r="G17" s="1468"/>
      <c r="H17" s="1468"/>
      <c r="I17" s="1468"/>
      <c r="J17" s="1468"/>
      <c r="K17" s="273"/>
      <c r="L17" s="309"/>
    </row>
    <row r="18" spans="1:12" s="307" customFormat="1" ht="20.100000000000001" customHeight="1">
      <c r="A18" s="310" t="s">
        <v>122</v>
      </c>
      <c r="B18" s="1469"/>
      <c r="C18" s="1469"/>
      <c r="D18" s="1469"/>
      <c r="E18" s="1469"/>
      <c r="F18" s="1469"/>
      <c r="G18" s="1469"/>
      <c r="H18" s="1469"/>
      <c r="I18" s="1469"/>
      <c r="J18" s="1469"/>
      <c r="K18" s="273"/>
      <c r="L18" s="309"/>
    </row>
    <row r="19" spans="1:12" s="307" customFormat="1" ht="20.100000000000001" customHeight="1" thickBot="1">
      <c r="A19" s="311" t="s">
        <v>123</v>
      </c>
      <c r="B19" s="312"/>
      <c r="C19" s="312"/>
      <c r="D19" s="312"/>
      <c r="E19" s="312"/>
      <c r="F19" s="312"/>
      <c r="G19" s="312"/>
      <c r="H19" s="312"/>
      <c r="I19" s="312"/>
      <c r="J19" s="312"/>
      <c r="K19" s="312"/>
      <c r="L19" s="313"/>
    </row>
    <row r="20" spans="1:12" ht="21.95" customHeight="1" thickTop="1"/>
    <row r="21" spans="1:12" ht="21.95" customHeight="1"/>
    <row r="22" spans="1:12" ht="21.95" customHeight="1"/>
    <row r="23" spans="1:12" ht="21.95" customHeight="1"/>
    <row r="24" spans="1:12" ht="20.25" customHeight="1"/>
    <row r="173" spans="7:7">
      <c r="G173" s="273" t="s">
        <v>532</v>
      </c>
    </row>
  </sheetData>
  <mergeCells count="17">
    <mergeCell ref="D6:D7"/>
    <mergeCell ref="E6:E7"/>
    <mergeCell ref="A15:L15"/>
    <mergeCell ref="A16:L16"/>
    <mergeCell ref="A1:L1"/>
    <mergeCell ref="A2:L2"/>
    <mergeCell ref="A3:L3"/>
    <mergeCell ref="B4:B7"/>
    <mergeCell ref="F6:G6"/>
    <mergeCell ref="H6:I6"/>
    <mergeCell ref="J6:K6"/>
    <mergeCell ref="A4:A7"/>
    <mergeCell ref="L4:L7"/>
    <mergeCell ref="C4:K4"/>
    <mergeCell ref="C5:E5"/>
    <mergeCell ref="F5:K5"/>
    <mergeCell ref="C6:C7"/>
  </mergeCells>
  <conditionalFormatting sqref="N4:XFD13">
    <cfRule type="expression" dxfId="10" priority="2">
      <formula>MOD(ROW(),3)=1</formula>
    </cfRule>
  </conditionalFormatting>
  <conditionalFormatting sqref="A8:L13">
    <cfRule type="expression" dxfId="9" priority="1">
      <formula>MOD(ROW(),3)=1</formula>
    </cfRule>
  </conditionalFormatting>
  <printOptions horizontalCentered="1"/>
  <pageMargins left="0.70866141732283472" right="0.70866141732283472" top="0.51181102362204722" bottom="0.39370078740157483" header="0.31496062992125984" footer="0.31496062992125984"/>
  <pageSetup paperSize="9" scale="83" fitToHeight="0" orientation="landscape" r:id="rId1"/>
  <legacyDrawingHF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J172"/>
  <sheetViews>
    <sheetView view="pageBreakPreview" topLeftCell="Y1" zoomScaleSheetLayoutView="100" workbookViewId="0">
      <selection activeCell="S17" sqref="S17"/>
    </sheetView>
  </sheetViews>
  <sheetFormatPr defaultColWidth="9.140625" defaultRowHeight="15"/>
  <cols>
    <col min="1" max="1" width="6.5703125" style="315" hidden="1" customWidth="1"/>
    <col min="2" max="2" width="26.85546875" style="315" hidden="1" customWidth="1"/>
    <col min="3" max="3" width="12" style="317" hidden="1" customWidth="1"/>
    <col min="4" max="5" width="11.85546875" style="315" hidden="1" customWidth="1"/>
    <col min="6" max="6" width="11.5703125" style="315" hidden="1" customWidth="1"/>
    <col min="7" max="7" width="13" style="315" hidden="1" customWidth="1"/>
    <col min="8" max="8" width="11.28515625" style="315" hidden="1" customWidth="1"/>
    <col min="9" max="9" width="11.140625" style="315" hidden="1" customWidth="1"/>
    <col min="10" max="10" width="12.7109375" style="315" hidden="1" customWidth="1"/>
    <col min="11" max="11" width="11.7109375" style="315" hidden="1" customWidth="1"/>
    <col min="12" max="12" width="31.85546875" style="315" hidden="1" customWidth="1"/>
    <col min="13" max="13" width="0" style="315" hidden="1" customWidth="1"/>
    <col min="14" max="14" width="26.42578125" style="315" hidden="1" customWidth="1"/>
    <col min="15" max="23" width="9.7109375" style="315" hidden="1" customWidth="1"/>
    <col min="24" max="24" width="28" style="315" hidden="1" customWidth="1"/>
    <col min="25" max="25" width="9.140625" style="315"/>
    <col min="26" max="26" width="34.5703125" style="315" customWidth="1"/>
    <col min="27" max="35" width="10.7109375" style="315" customWidth="1"/>
    <col min="36" max="36" width="32.28515625" style="315" customWidth="1"/>
    <col min="37" max="16384" width="9.140625" style="315"/>
  </cols>
  <sheetData>
    <row r="1" spans="1:36" s="314" customFormat="1" ht="20.100000000000001" customHeight="1" thickTop="1">
      <c r="A1" s="2402" t="s">
        <v>475</v>
      </c>
      <c r="B1" s="2402"/>
      <c r="C1" s="2402"/>
      <c r="D1" s="2402"/>
      <c r="E1" s="2402"/>
      <c r="F1" s="2402"/>
      <c r="G1" s="2402"/>
      <c r="H1" s="2402"/>
      <c r="I1" s="2402"/>
      <c r="J1" s="2402"/>
      <c r="K1" s="2402"/>
      <c r="L1" s="2402"/>
      <c r="M1" s="2402" t="s">
        <v>630</v>
      </c>
      <c r="N1" s="2402"/>
      <c r="O1" s="2402"/>
      <c r="P1" s="2402"/>
      <c r="Q1" s="2402"/>
      <c r="R1" s="2402"/>
      <c r="S1" s="2402"/>
      <c r="T1" s="2402"/>
      <c r="U1" s="2402"/>
      <c r="V1" s="2402"/>
      <c r="W1" s="2402"/>
      <c r="X1" s="2402"/>
      <c r="Y1" s="2515" t="s">
        <v>2823</v>
      </c>
      <c r="Z1" s="2230"/>
      <c r="AA1" s="2230"/>
      <c r="AB1" s="2230"/>
      <c r="AC1" s="2230"/>
      <c r="AD1" s="2230"/>
      <c r="AE1" s="2230"/>
      <c r="AF1" s="2230"/>
      <c r="AG1" s="2230"/>
      <c r="AH1" s="2230"/>
      <c r="AI1" s="2230"/>
      <c r="AJ1" s="2231"/>
    </row>
    <row r="2" spans="1:36" ht="20.100000000000001" customHeight="1">
      <c r="A2" s="2278" t="s">
        <v>476</v>
      </c>
      <c r="B2" s="2278"/>
      <c r="C2" s="2278"/>
      <c r="D2" s="2278"/>
      <c r="E2" s="2278"/>
      <c r="F2" s="2278"/>
      <c r="G2" s="2278"/>
      <c r="H2" s="2278"/>
      <c r="I2" s="2278"/>
      <c r="J2" s="2278"/>
      <c r="K2" s="2278"/>
      <c r="L2" s="2278"/>
      <c r="M2" s="2278" t="s">
        <v>631</v>
      </c>
      <c r="N2" s="2278"/>
      <c r="O2" s="2278"/>
      <c r="P2" s="2278"/>
      <c r="Q2" s="2278"/>
      <c r="R2" s="2278"/>
      <c r="S2" s="2278"/>
      <c r="T2" s="2278"/>
      <c r="U2" s="2278"/>
      <c r="V2" s="2278"/>
      <c r="W2" s="2278"/>
      <c r="X2" s="2278"/>
      <c r="Y2" s="2277" t="s">
        <v>2824</v>
      </c>
      <c r="Z2" s="2278"/>
      <c r="AA2" s="2278"/>
      <c r="AB2" s="2278"/>
      <c r="AC2" s="2278"/>
      <c r="AD2" s="2278"/>
      <c r="AE2" s="2278"/>
      <c r="AF2" s="2278"/>
      <c r="AG2" s="2278"/>
      <c r="AH2" s="2278"/>
      <c r="AI2" s="2278"/>
      <c r="AJ2" s="2279"/>
    </row>
    <row r="3" spans="1:36" ht="20.100000000000001" customHeight="1">
      <c r="B3" s="316"/>
      <c r="D3" s="318"/>
      <c r="E3" s="318"/>
      <c r="F3" s="318"/>
      <c r="G3" s="318"/>
      <c r="H3" s="318"/>
      <c r="I3" s="318"/>
      <c r="J3" s="318"/>
      <c r="K3" s="319"/>
      <c r="L3" s="320" t="s">
        <v>518</v>
      </c>
      <c r="N3" s="316"/>
      <c r="O3" s="317"/>
      <c r="P3" s="318"/>
      <c r="Q3" s="318"/>
      <c r="R3" s="318"/>
      <c r="S3" s="375">
        <v>2.5</v>
      </c>
      <c r="T3" s="318"/>
      <c r="U3" s="318"/>
      <c r="V3" s="318"/>
      <c r="W3" s="319"/>
      <c r="X3" s="320" t="s">
        <v>518</v>
      </c>
      <c r="Y3" s="321"/>
      <c r="Z3" s="316"/>
      <c r="AA3" s="317"/>
      <c r="AB3" s="318"/>
      <c r="AC3" s="318"/>
      <c r="AD3" s="318"/>
      <c r="AE3" s="318"/>
      <c r="AF3" s="318"/>
      <c r="AG3" s="318"/>
      <c r="AH3" s="318"/>
      <c r="AI3" s="319"/>
      <c r="AJ3" s="322" t="s">
        <v>741</v>
      </c>
    </row>
    <row r="4" spans="1:36" s="323" customFormat="1" ht="36.75" customHeight="1">
      <c r="A4" s="2186" t="s">
        <v>520</v>
      </c>
      <c r="B4" s="2186" t="s">
        <v>101</v>
      </c>
      <c r="C4" s="2186" t="s">
        <v>241</v>
      </c>
      <c r="D4" s="2186"/>
      <c r="E4" s="2186"/>
      <c r="F4" s="2186" t="s">
        <v>242</v>
      </c>
      <c r="G4" s="2186"/>
      <c r="H4" s="2186"/>
      <c r="I4" s="2186" t="s">
        <v>243</v>
      </c>
      <c r="J4" s="2186"/>
      <c r="K4" s="2186"/>
      <c r="L4" s="2186" t="s">
        <v>206</v>
      </c>
      <c r="M4" s="2186" t="s">
        <v>520</v>
      </c>
      <c r="N4" s="2186" t="s">
        <v>101</v>
      </c>
      <c r="O4" s="2186" t="s">
        <v>241</v>
      </c>
      <c r="P4" s="2186"/>
      <c r="Q4" s="2186"/>
      <c r="R4" s="2186" t="s">
        <v>242</v>
      </c>
      <c r="S4" s="2186"/>
      <c r="T4" s="2186"/>
      <c r="U4" s="2186" t="s">
        <v>243</v>
      </c>
      <c r="V4" s="2186"/>
      <c r="W4" s="2186"/>
      <c r="X4" s="2519" t="s">
        <v>206</v>
      </c>
      <c r="Y4" s="2508" t="s">
        <v>688</v>
      </c>
      <c r="Z4" s="2186" t="s">
        <v>206</v>
      </c>
      <c r="AA4" s="2517" t="s">
        <v>735</v>
      </c>
      <c r="AB4" s="2186"/>
      <c r="AC4" s="2186"/>
      <c r="AD4" s="2186" t="s">
        <v>736</v>
      </c>
      <c r="AE4" s="2186"/>
      <c r="AF4" s="2186"/>
      <c r="AG4" s="2186" t="s">
        <v>737</v>
      </c>
      <c r="AH4" s="2186"/>
      <c r="AI4" s="2186"/>
      <c r="AJ4" s="2516" t="s">
        <v>101</v>
      </c>
    </row>
    <row r="5" spans="1:36" s="323" customFormat="1" ht="61.5" customHeight="1">
      <c r="A5" s="2186"/>
      <c r="B5" s="2186"/>
      <c r="C5" s="265" t="s">
        <v>244</v>
      </c>
      <c r="D5" s="265" t="s">
        <v>245</v>
      </c>
      <c r="E5" s="265" t="s">
        <v>246</v>
      </c>
      <c r="F5" s="265" t="s">
        <v>247</v>
      </c>
      <c r="G5" s="265" t="s">
        <v>248</v>
      </c>
      <c r="H5" s="265" t="s">
        <v>246</v>
      </c>
      <c r="I5" s="265" t="s">
        <v>244</v>
      </c>
      <c r="J5" s="265" t="s">
        <v>248</v>
      </c>
      <c r="K5" s="265" t="s">
        <v>249</v>
      </c>
      <c r="L5" s="2186"/>
      <c r="M5" s="2186"/>
      <c r="N5" s="2186"/>
      <c r="O5" s="265" t="s">
        <v>244</v>
      </c>
      <c r="P5" s="265" t="s">
        <v>245</v>
      </c>
      <c r="Q5" s="265" t="s">
        <v>246</v>
      </c>
      <c r="R5" s="265" t="s">
        <v>247</v>
      </c>
      <c r="S5" s="265" t="s">
        <v>248</v>
      </c>
      <c r="T5" s="265" t="s">
        <v>246</v>
      </c>
      <c r="U5" s="265" t="s">
        <v>244</v>
      </c>
      <c r="V5" s="265" t="s">
        <v>248</v>
      </c>
      <c r="W5" s="265" t="s">
        <v>249</v>
      </c>
      <c r="X5" s="2519"/>
      <c r="Y5" s="2508"/>
      <c r="Z5" s="2186"/>
      <c r="AA5" s="1558" t="s">
        <v>738</v>
      </c>
      <c r="AB5" s="265" t="s">
        <v>739</v>
      </c>
      <c r="AC5" s="265" t="s">
        <v>740</v>
      </c>
      <c r="AD5" s="265" t="s">
        <v>738</v>
      </c>
      <c r="AE5" s="265" t="s">
        <v>739</v>
      </c>
      <c r="AF5" s="265" t="s">
        <v>740</v>
      </c>
      <c r="AG5" s="265" t="s">
        <v>738</v>
      </c>
      <c r="AH5" s="265" t="s">
        <v>739</v>
      </c>
      <c r="AI5" s="265" t="s">
        <v>740</v>
      </c>
      <c r="AJ5" s="2516"/>
    </row>
    <row r="6" spans="1:36" s="332" customFormat="1" ht="30" customHeight="1">
      <c r="A6" s="324">
        <v>1</v>
      </c>
      <c r="B6" s="325" t="s">
        <v>88</v>
      </c>
      <c r="C6" s="326">
        <v>9417</v>
      </c>
      <c r="D6" s="326">
        <v>463</v>
      </c>
      <c r="E6" s="326">
        <v>9881</v>
      </c>
      <c r="F6" s="326">
        <v>304</v>
      </c>
      <c r="G6" s="327">
        <v>0</v>
      </c>
      <c r="H6" s="326">
        <v>315</v>
      </c>
      <c r="I6" s="326">
        <v>63601</v>
      </c>
      <c r="J6" s="326">
        <v>4832</v>
      </c>
      <c r="K6" s="326">
        <v>68433</v>
      </c>
      <c r="L6" s="325" t="s">
        <v>197</v>
      </c>
      <c r="M6" s="324">
        <v>1</v>
      </c>
      <c r="N6" s="325" t="s">
        <v>88</v>
      </c>
      <c r="O6" s="328">
        <v>6959</v>
      </c>
      <c r="P6" s="328">
        <v>484</v>
      </c>
      <c r="Q6" s="328">
        <v>7444</v>
      </c>
      <c r="R6" s="328">
        <v>34</v>
      </c>
      <c r="S6" s="328">
        <v>0</v>
      </c>
      <c r="T6" s="328">
        <v>35</v>
      </c>
      <c r="U6" s="328">
        <v>63601</v>
      </c>
      <c r="V6" s="328">
        <v>7967</v>
      </c>
      <c r="W6" s="328">
        <v>68433</v>
      </c>
      <c r="X6" s="329" t="s">
        <v>197</v>
      </c>
      <c r="Y6" s="330">
        <v>1</v>
      </c>
      <c r="Z6" s="325" t="s">
        <v>197</v>
      </c>
      <c r="AA6" s="331">
        <v>6703.6220000000003</v>
      </c>
      <c r="AB6" s="328">
        <v>532.50969999999995</v>
      </c>
      <c r="AC6" s="328">
        <v>7236.1270000000004</v>
      </c>
      <c r="AD6" s="328">
        <v>0</v>
      </c>
      <c r="AE6" s="328">
        <v>0</v>
      </c>
      <c r="AF6" s="328">
        <v>0</v>
      </c>
      <c r="AG6" s="328">
        <v>63601.33</v>
      </c>
      <c r="AH6" s="328">
        <v>6965.0829999999996</v>
      </c>
      <c r="AI6" s="328">
        <v>68433.03</v>
      </c>
      <c r="AJ6" s="1470" t="s">
        <v>88</v>
      </c>
    </row>
    <row r="7" spans="1:36" ht="30" customHeight="1">
      <c r="A7" s="324">
        <v>2</v>
      </c>
      <c r="B7" s="333" t="s">
        <v>102</v>
      </c>
      <c r="C7" s="326">
        <v>3510</v>
      </c>
      <c r="D7" s="326">
        <v>402</v>
      </c>
      <c r="E7" s="326">
        <v>3912</v>
      </c>
      <c r="F7" s="326">
        <v>253</v>
      </c>
      <c r="G7" s="327">
        <v>27</v>
      </c>
      <c r="H7" s="326">
        <v>279</v>
      </c>
      <c r="I7" s="326">
        <v>6636</v>
      </c>
      <c r="J7" s="326">
        <v>1157</v>
      </c>
      <c r="K7" s="326">
        <v>7133</v>
      </c>
      <c r="L7" s="333" t="s">
        <v>198</v>
      </c>
      <c r="M7" s="324">
        <v>2</v>
      </c>
      <c r="N7" s="333" t="s">
        <v>102</v>
      </c>
      <c r="O7" s="328">
        <v>3720.0478488727017</v>
      </c>
      <c r="P7" s="328">
        <v>261.15170843118062</v>
      </c>
      <c r="Q7" s="328">
        <v>3981.1995573038807</v>
      </c>
      <c r="R7" s="328">
        <v>63</v>
      </c>
      <c r="S7" s="328">
        <v>7.0648686828979379</v>
      </c>
      <c r="T7" s="328">
        <v>73</v>
      </c>
      <c r="U7" s="328">
        <v>12681</v>
      </c>
      <c r="V7" s="328">
        <v>1194</v>
      </c>
      <c r="W7" s="328">
        <v>13876</v>
      </c>
      <c r="X7" s="334" t="s">
        <v>198</v>
      </c>
      <c r="Y7" s="330">
        <v>2</v>
      </c>
      <c r="Z7" s="333" t="s">
        <v>198</v>
      </c>
      <c r="AA7" s="331">
        <v>2937.38</v>
      </c>
      <c r="AB7" s="328">
        <v>343.88709999999998</v>
      </c>
      <c r="AC7" s="328">
        <v>3281.2669999999998</v>
      </c>
      <c r="AD7" s="328">
        <v>2.407</v>
      </c>
      <c r="AE7" s="328">
        <v>0</v>
      </c>
      <c r="AF7" s="328">
        <v>2.4071250000000002</v>
      </c>
      <c r="AG7" s="328">
        <v>12681</v>
      </c>
      <c r="AH7" s="328">
        <v>1906.3979999999999</v>
      </c>
      <c r="AI7" s="328">
        <v>13876</v>
      </c>
      <c r="AJ7" s="459" t="s">
        <v>102</v>
      </c>
    </row>
    <row r="8" spans="1:36" ht="30" customHeight="1">
      <c r="A8" s="324">
        <v>3</v>
      </c>
      <c r="B8" s="325" t="s">
        <v>103</v>
      </c>
      <c r="C8" s="326">
        <v>6089</v>
      </c>
      <c r="D8" s="326">
        <v>406</v>
      </c>
      <c r="E8" s="326">
        <v>6495</v>
      </c>
      <c r="F8" s="326">
        <v>671</v>
      </c>
      <c r="G8" s="327">
        <v>44</v>
      </c>
      <c r="H8" s="326">
        <v>716</v>
      </c>
      <c r="I8" s="326">
        <v>14236</v>
      </c>
      <c r="J8" s="326">
        <v>1648</v>
      </c>
      <c r="K8" s="326">
        <v>15883</v>
      </c>
      <c r="L8" s="325" t="s">
        <v>199</v>
      </c>
      <c r="M8" s="324">
        <v>3</v>
      </c>
      <c r="N8" s="325" t="s">
        <v>103</v>
      </c>
      <c r="O8" s="328">
        <v>6323.7942797015994</v>
      </c>
      <c r="P8" s="328">
        <v>565.70726141387479</v>
      </c>
      <c r="Q8" s="328">
        <v>6889.5055171700633</v>
      </c>
      <c r="R8" s="328">
        <v>216</v>
      </c>
      <c r="S8" s="328">
        <v>26.023235097462031</v>
      </c>
      <c r="T8" s="328">
        <v>242</v>
      </c>
      <c r="U8" s="328">
        <v>20287.057639021768</v>
      </c>
      <c r="V8" s="328">
        <v>3507</v>
      </c>
      <c r="W8" s="328">
        <v>22535.813387714214</v>
      </c>
      <c r="X8" s="329" t="s">
        <v>199</v>
      </c>
      <c r="Y8" s="330">
        <v>3</v>
      </c>
      <c r="Z8" s="325" t="s">
        <v>199</v>
      </c>
      <c r="AA8" s="331">
        <v>5757.1059999999998</v>
      </c>
      <c r="AB8" s="328">
        <v>636.86249999999995</v>
      </c>
      <c r="AC8" s="328">
        <v>6394</v>
      </c>
      <c r="AD8" s="328">
        <v>216</v>
      </c>
      <c r="AE8" s="328">
        <v>0</v>
      </c>
      <c r="AF8" s="328">
        <v>242</v>
      </c>
      <c r="AG8" s="328">
        <v>18484</v>
      </c>
      <c r="AH8" s="328">
        <v>3540.3580000000002</v>
      </c>
      <c r="AI8" s="328">
        <v>21907</v>
      </c>
      <c r="AJ8" s="1470" t="s">
        <v>103</v>
      </c>
    </row>
    <row r="9" spans="1:36" ht="30" customHeight="1">
      <c r="A9" s="324">
        <v>4</v>
      </c>
      <c r="B9" s="325" t="s">
        <v>82</v>
      </c>
      <c r="C9" s="326">
        <v>7311</v>
      </c>
      <c r="D9" s="326">
        <v>632</v>
      </c>
      <c r="E9" s="326">
        <v>7943</v>
      </c>
      <c r="F9" s="326">
        <v>0</v>
      </c>
      <c r="G9" s="327">
        <v>0</v>
      </c>
      <c r="H9" s="326">
        <v>0</v>
      </c>
      <c r="I9" s="326">
        <v>52145</v>
      </c>
      <c r="J9" s="326">
        <v>6192</v>
      </c>
      <c r="K9" s="326">
        <v>58337</v>
      </c>
      <c r="L9" s="325" t="s">
        <v>200</v>
      </c>
      <c r="M9" s="324">
        <v>4</v>
      </c>
      <c r="N9" s="325" t="s">
        <v>82</v>
      </c>
      <c r="O9" s="328">
        <v>9267.7863907475767</v>
      </c>
      <c r="P9" s="328">
        <v>696.32038961920261</v>
      </c>
      <c r="Q9" s="328">
        <v>9900.2826199847768</v>
      </c>
      <c r="R9" s="328">
        <v>0</v>
      </c>
      <c r="S9" s="328">
        <v>0</v>
      </c>
      <c r="T9" s="328">
        <v>0</v>
      </c>
      <c r="U9" s="328">
        <v>143248.74843659517</v>
      </c>
      <c r="V9" s="328">
        <v>11682.044489020675</v>
      </c>
      <c r="W9" s="328">
        <v>149873.44892803719</v>
      </c>
      <c r="X9" s="329" t="s">
        <v>200</v>
      </c>
      <c r="Y9" s="330">
        <v>4</v>
      </c>
      <c r="Z9" s="325" t="s">
        <v>200</v>
      </c>
      <c r="AA9" s="331">
        <v>9726.4110000000001</v>
      </c>
      <c r="AB9" s="328">
        <v>591.28520000000003</v>
      </c>
      <c r="AC9" s="328">
        <v>10306.1</v>
      </c>
      <c r="AD9" s="328">
        <v>0</v>
      </c>
      <c r="AE9" s="328">
        <v>0</v>
      </c>
      <c r="AF9" s="328">
        <v>0</v>
      </c>
      <c r="AG9" s="328">
        <v>143248.70000000001</v>
      </c>
      <c r="AH9" s="328">
        <v>11682.04</v>
      </c>
      <c r="AI9" s="328">
        <v>149873.4</v>
      </c>
      <c r="AJ9" s="1470" t="s">
        <v>82</v>
      </c>
    </row>
    <row r="10" spans="1:36" ht="30" customHeight="1">
      <c r="A10" s="324">
        <v>5</v>
      </c>
      <c r="B10" s="333" t="s">
        <v>83</v>
      </c>
      <c r="C10" s="326">
        <v>2673</v>
      </c>
      <c r="D10" s="326">
        <v>199</v>
      </c>
      <c r="E10" s="326">
        <v>2872</v>
      </c>
      <c r="F10" s="326">
        <v>0</v>
      </c>
      <c r="G10" s="327">
        <v>0</v>
      </c>
      <c r="H10" s="326">
        <v>0</v>
      </c>
      <c r="I10" s="326">
        <v>10293</v>
      </c>
      <c r="J10" s="326">
        <v>2055</v>
      </c>
      <c r="K10" s="326">
        <v>10880</v>
      </c>
      <c r="L10" s="333" t="s">
        <v>201</v>
      </c>
      <c r="M10" s="324">
        <v>5</v>
      </c>
      <c r="N10" s="333" t="s">
        <v>83</v>
      </c>
      <c r="O10" s="328">
        <v>3431.8915191743909</v>
      </c>
      <c r="P10" s="328">
        <v>318.81347857743202</v>
      </c>
      <c r="Q10" s="328">
        <v>3731.9678856251867</v>
      </c>
      <c r="R10" s="328">
        <v>0</v>
      </c>
      <c r="S10" s="328">
        <v>0</v>
      </c>
      <c r="T10" s="328">
        <v>0</v>
      </c>
      <c r="U10" s="328">
        <v>34258</v>
      </c>
      <c r="V10" s="328">
        <v>4693</v>
      </c>
      <c r="W10" s="328">
        <v>38229</v>
      </c>
      <c r="X10" s="334" t="s">
        <v>201</v>
      </c>
      <c r="Y10" s="330">
        <v>5</v>
      </c>
      <c r="Z10" s="333" t="s">
        <v>201</v>
      </c>
      <c r="AA10" s="331">
        <v>2973.66</v>
      </c>
      <c r="AB10" s="328">
        <v>185.53729999999999</v>
      </c>
      <c r="AC10" s="328">
        <v>3124.973</v>
      </c>
      <c r="AD10" s="328">
        <v>0</v>
      </c>
      <c r="AE10" s="328">
        <v>0</v>
      </c>
      <c r="AF10" s="328">
        <v>0</v>
      </c>
      <c r="AG10" s="328">
        <v>33820.410000000003</v>
      </c>
      <c r="AH10" s="328">
        <v>4693</v>
      </c>
      <c r="AI10" s="328">
        <v>34168.550000000003</v>
      </c>
      <c r="AJ10" s="459" t="s">
        <v>83</v>
      </c>
    </row>
    <row r="11" spans="1:36" ht="30" customHeight="1">
      <c r="A11" s="324">
        <v>6</v>
      </c>
      <c r="B11" s="325" t="s">
        <v>104</v>
      </c>
      <c r="C11" s="326">
        <v>1126</v>
      </c>
      <c r="D11" s="326">
        <v>253</v>
      </c>
      <c r="E11" s="326">
        <v>1379</v>
      </c>
      <c r="F11" s="326">
        <v>0</v>
      </c>
      <c r="G11" s="327">
        <v>0</v>
      </c>
      <c r="H11" s="326">
        <v>0</v>
      </c>
      <c r="I11" s="326">
        <v>5291</v>
      </c>
      <c r="J11" s="326">
        <v>1919</v>
      </c>
      <c r="K11" s="326">
        <v>6197</v>
      </c>
      <c r="L11" s="325" t="s">
        <v>202</v>
      </c>
      <c r="M11" s="324">
        <v>6</v>
      </c>
      <c r="N11" s="325" t="s">
        <v>104</v>
      </c>
      <c r="O11" s="328">
        <v>1106.9446607789173</v>
      </c>
      <c r="P11" s="328">
        <v>248.2484608418408</v>
      </c>
      <c r="Q11" s="328">
        <v>1355.1959104653804</v>
      </c>
      <c r="R11" s="328">
        <v>0</v>
      </c>
      <c r="S11" s="328">
        <v>0</v>
      </c>
      <c r="T11" s="328">
        <v>0</v>
      </c>
      <c r="U11" s="328">
        <v>7154</v>
      </c>
      <c r="V11" s="328">
        <v>2667</v>
      </c>
      <c r="W11" s="328">
        <v>9820</v>
      </c>
      <c r="X11" s="329" t="s">
        <v>202</v>
      </c>
      <c r="Y11" s="330">
        <v>6</v>
      </c>
      <c r="Z11" s="325" t="s">
        <v>202</v>
      </c>
      <c r="AA11" s="331">
        <v>993.7287</v>
      </c>
      <c r="AB11" s="328">
        <v>181.91489999999999</v>
      </c>
      <c r="AC11" s="328">
        <v>1170.444</v>
      </c>
      <c r="AD11" s="328">
        <v>0</v>
      </c>
      <c r="AE11" s="328">
        <v>0</v>
      </c>
      <c r="AF11" s="328">
        <v>0</v>
      </c>
      <c r="AG11" s="328">
        <v>12271.32</v>
      </c>
      <c r="AH11" s="328">
        <v>2667</v>
      </c>
      <c r="AI11" s="328">
        <v>12574.59</v>
      </c>
      <c r="AJ11" s="1470" t="s">
        <v>104</v>
      </c>
    </row>
    <row r="12" spans="1:36" ht="30" customHeight="1">
      <c r="A12" s="324">
        <v>7</v>
      </c>
      <c r="B12" s="335" t="s">
        <v>281</v>
      </c>
      <c r="C12" s="326">
        <v>55</v>
      </c>
      <c r="D12" s="326">
        <v>48</v>
      </c>
      <c r="E12" s="326">
        <v>103</v>
      </c>
      <c r="F12" s="326">
        <v>0</v>
      </c>
      <c r="G12" s="327">
        <v>0</v>
      </c>
      <c r="H12" s="326">
        <v>0</v>
      </c>
      <c r="I12" s="326">
        <v>396</v>
      </c>
      <c r="J12" s="326">
        <v>371</v>
      </c>
      <c r="K12" s="326">
        <v>652</v>
      </c>
      <c r="L12" s="335" t="s">
        <v>285</v>
      </c>
      <c r="M12" s="324">
        <v>7</v>
      </c>
      <c r="N12" s="335" t="s">
        <v>281</v>
      </c>
      <c r="O12" s="328">
        <v>88.617171737947103</v>
      </c>
      <c r="P12" s="328">
        <v>93.067719575811779</v>
      </c>
      <c r="Q12" s="328">
        <v>181.73072791506613</v>
      </c>
      <c r="R12" s="328">
        <v>0</v>
      </c>
      <c r="S12" s="328">
        <v>0</v>
      </c>
      <c r="T12" s="328">
        <v>0</v>
      </c>
      <c r="U12" s="328">
        <v>729.22901731186471</v>
      </c>
      <c r="V12" s="328">
        <v>1215.7985837212464</v>
      </c>
      <c r="W12" s="328">
        <v>1945.0276010331115</v>
      </c>
      <c r="X12" s="336" t="s">
        <v>285</v>
      </c>
      <c r="Y12" s="330">
        <v>7</v>
      </c>
      <c r="Z12" s="335" t="s">
        <v>285</v>
      </c>
      <c r="AA12" s="331">
        <v>78.890910000000005</v>
      </c>
      <c r="AB12" s="328">
        <v>75.130920000000003</v>
      </c>
      <c r="AC12" s="328">
        <v>154.06299999999999</v>
      </c>
      <c r="AD12" s="328">
        <v>0</v>
      </c>
      <c r="AE12" s="328">
        <v>0</v>
      </c>
      <c r="AF12" s="328">
        <v>0</v>
      </c>
      <c r="AG12" s="328">
        <v>773.48220000000003</v>
      </c>
      <c r="AH12" s="328">
        <v>1215.799</v>
      </c>
      <c r="AI12" s="328">
        <v>1945.028</v>
      </c>
      <c r="AJ12" s="1174" t="s">
        <v>281</v>
      </c>
    </row>
    <row r="13" spans="1:36" ht="30" customHeight="1">
      <c r="A13" s="324">
        <v>8</v>
      </c>
      <c r="B13" s="335" t="s">
        <v>282</v>
      </c>
      <c r="C13" s="326">
        <v>2909</v>
      </c>
      <c r="D13" s="326">
        <v>216</v>
      </c>
      <c r="E13" s="326">
        <v>3125</v>
      </c>
      <c r="F13" s="326">
        <v>371</v>
      </c>
      <c r="G13" s="327">
        <v>36</v>
      </c>
      <c r="H13" s="326">
        <v>407</v>
      </c>
      <c r="I13" s="326">
        <v>4911</v>
      </c>
      <c r="J13" s="326">
        <v>368</v>
      </c>
      <c r="K13" s="326">
        <v>5279</v>
      </c>
      <c r="L13" s="335" t="s">
        <v>286</v>
      </c>
      <c r="M13" s="324">
        <v>8</v>
      </c>
      <c r="N13" s="335" t="s">
        <v>282</v>
      </c>
      <c r="O13" s="328">
        <v>2313.9868727372241</v>
      </c>
      <c r="P13" s="328">
        <v>207.92027560018801</v>
      </c>
      <c r="Q13" s="328">
        <v>2521.9402951485035</v>
      </c>
      <c r="R13" s="328">
        <v>82.963915260440757</v>
      </c>
      <c r="S13" s="328">
        <v>0</v>
      </c>
      <c r="T13" s="328">
        <v>82.963915260440757</v>
      </c>
      <c r="U13" s="328">
        <v>6047.3870954851072</v>
      </c>
      <c r="V13" s="328">
        <v>1066.8789571102652</v>
      </c>
      <c r="W13" s="328">
        <v>6421.7651113584061</v>
      </c>
      <c r="X13" s="336" t="s">
        <v>286</v>
      </c>
      <c r="Y13" s="330">
        <v>8</v>
      </c>
      <c r="Z13" s="335" t="s">
        <v>286</v>
      </c>
      <c r="AA13" s="331">
        <v>1910.3689999999999</v>
      </c>
      <c r="AB13" s="328">
        <v>248.8553</v>
      </c>
      <c r="AC13" s="328">
        <v>2159.2510000000002</v>
      </c>
      <c r="AD13" s="328">
        <v>26.401700000000002</v>
      </c>
      <c r="AE13" s="328">
        <v>0</v>
      </c>
      <c r="AF13" s="328">
        <v>26.401700000000002</v>
      </c>
      <c r="AG13" s="328">
        <v>4922.7790000000005</v>
      </c>
      <c r="AH13" s="328">
        <v>1066.8789999999999</v>
      </c>
      <c r="AI13" s="328">
        <v>5908</v>
      </c>
      <c r="AJ13" s="1174" t="s">
        <v>282</v>
      </c>
    </row>
    <row r="14" spans="1:36" ht="30" customHeight="1">
      <c r="A14" s="324">
        <v>9</v>
      </c>
      <c r="B14" s="337" t="s">
        <v>97</v>
      </c>
      <c r="C14" s="326">
        <v>2378</v>
      </c>
      <c r="D14" s="326">
        <v>225</v>
      </c>
      <c r="E14" s="326">
        <v>2603</v>
      </c>
      <c r="F14" s="326">
        <v>33</v>
      </c>
      <c r="G14" s="327">
        <v>0</v>
      </c>
      <c r="H14" s="326">
        <v>108</v>
      </c>
      <c r="I14" s="326">
        <v>10716</v>
      </c>
      <c r="J14" s="326">
        <v>1327</v>
      </c>
      <c r="K14" s="326">
        <v>10868</v>
      </c>
      <c r="L14" s="337" t="s">
        <v>287</v>
      </c>
      <c r="M14" s="324">
        <v>9</v>
      </c>
      <c r="N14" s="337" t="s">
        <v>97</v>
      </c>
      <c r="O14" s="328">
        <v>2135.7271422627427</v>
      </c>
      <c r="P14" s="328">
        <v>189.39911418009316</v>
      </c>
      <c r="Q14" s="328">
        <v>2325.1339181343801</v>
      </c>
      <c r="R14" s="328">
        <v>0</v>
      </c>
      <c r="S14" s="328">
        <v>0</v>
      </c>
      <c r="T14" s="328">
        <v>0</v>
      </c>
      <c r="U14" s="328">
        <v>13562</v>
      </c>
      <c r="V14" s="328">
        <v>1608.7</v>
      </c>
      <c r="W14" s="328">
        <v>13644</v>
      </c>
      <c r="X14" s="338" t="s">
        <v>287</v>
      </c>
      <c r="Y14" s="330">
        <v>9</v>
      </c>
      <c r="Z14" s="337" t="s">
        <v>287</v>
      </c>
      <c r="AA14" s="331">
        <v>2061.9679999999998</v>
      </c>
      <c r="AB14" s="328">
        <v>158.9315</v>
      </c>
      <c r="AC14" s="328">
        <v>2220.904</v>
      </c>
      <c r="AD14" s="328">
        <v>0</v>
      </c>
      <c r="AE14" s="328">
        <v>0</v>
      </c>
      <c r="AF14" s="328">
        <v>0</v>
      </c>
      <c r="AG14" s="328">
        <v>13005.77</v>
      </c>
      <c r="AH14" s="328">
        <v>1608.7</v>
      </c>
      <c r="AI14" s="328">
        <v>13170.69</v>
      </c>
      <c r="AJ14" s="1471" t="s">
        <v>97</v>
      </c>
    </row>
    <row r="15" spans="1:36" ht="30" customHeight="1">
      <c r="A15" s="324">
        <v>10</v>
      </c>
      <c r="B15" s="337" t="s">
        <v>283</v>
      </c>
      <c r="C15" s="326">
        <v>3219</v>
      </c>
      <c r="D15" s="326">
        <v>87</v>
      </c>
      <c r="E15" s="326">
        <v>3306</v>
      </c>
      <c r="F15" s="326">
        <v>3219</v>
      </c>
      <c r="G15" s="326">
        <v>87</v>
      </c>
      <c r="H15" s="326">
        <v>3306</v>
      </c>
      <c r="I15" s="326">
        <v>3219</v>
      </c>
      <c r="J15" s="326">
        <v>87</v>
      </c>
      <c r="K15" s="326">
        <v>3306</v>
      </c>
      <c r="L15" s="337" t="s">
        <v>288</v>
      </c>
      <c r="M15" s="324">
        <v>10</v>
      </c>
      <c r="N15" s="337" t="s">
        <v>283</v>
      </c>
      <c r="O15" s="328">
        <v>1754.4228418553887</v>
      </c>
      <c r="P15" s="328">
        <v>41.220682868081632</v>
      </c>
      <c r="Q15" s="328">
        <v>1794.9298922602272</v>
      </c>
      <c r="R15" s="328">
        <v>245.93439000193482</v>
      </c>
      <c r="S15" s="328">
        <v>0</v>
      </c>
      <c r="T15" s="328">
        <v>245.93439000193482</v>
      </c>
      <c r="U15" s="328">
        <v>4996.2009599999956</v>
      </c>
      <c r="V15" s="328">
        <v>322.11168016346221</v>
      </c>
      <c r="W15" s="328">
        <v>5038.3551303078348</v>
      </c>
      <c r="X15" s="338" t="s">
        <v>288</v>
      </c>
      <c r="Y15" s="330">
        <v>10</v>
      </c>
      <c r="Z15" s="337" t="s">
        <v>288</v>
      </c>
      <c r="AA15" s="331">
        <v>1802.175</v>
      </c>
      <c r="AB15" s="328">
        <v>55.613230000000001</v>
      </c>
      <c r="AC15" s="328">
        <v>1857.788</v>
      </c>
      <c r="AD15" s="328">
        <v>51.445320000000002</v>
      </c>
      <c r="AE15" s="328">
        <v>3.0916999999999999</v>
      </c>
      <c r="AF15" s="328">
        <v>59.358440000000002</v>
      </c>
      <c r="AG15" s="328">
        <v>3627.3110000000001</v>
      </c>
      <c r="AH15" s="328">
        <v>100.11709999999999</v>
      </c>
      <c r="AI15" s="328">
        <v>3719.9180000000001</v>
      </c>
      <c r="AJ15" s="1471" t="s">
        <v>283</v>
      </c>
    </row>
    <row r="16" spans="1:36" ht="30" customHeight="1">
      <c r="A16" s="324">
        <v>11</v>
      </c>
      <c r="B16" s="337" t="s">
        <v>284</v>
      </c>
      <c r="C16" s="326">
        <v>34</v>
      </c>
      <c r="D16" s="326">
        <v>1</v>
      </c>
      <c r="E16" s="326">
        <v>34</v>
      </c>
      <c r="F16" s="326">
        <v>0</v>
      </c>
      <c r="G16" s="326">
        <v>0</v>
      </c>
      <c r="H16" s="326">
        <v>0</v>
      </c>
      <c r="I16" s="326">
        <v>127</v>
      </c>
      <c r="J16" s="326">
        <v>6</v>
      </c>
      <c r="K16" s="326">
        <v>127</v>
      </c>
      <c r="L16" s="337" t="s">
        <v>289</v>
      </c>
      <c r="M16" s="324">
        <v>11</v>
      </c>
      <c r="N16" s="337" t="s">
        <v>284</v>
      </c>
      <c r="O16" s="328">
        <v>230</v>
      </c>
      <c r="P16" s="328">
        <v>2</v>
      </c>
      <c r="Q16" s="328">
        <v>232</v>
      </c>
      <c r="R16" s="328">
        <v>0</v>
      </c>
      <c r="S16" s="328">
        <v>0</v>
      </c>
      <c r="T16" s="328">
        <v>0</v>
      </c>
      <c r="U16" s="328">
        <v>2031.8730481960386</v>
      </c>
      <c r="V16" s="328">
        <v>20.840475203390817</v>
      </c>
      <c r="W16" s="328">
        <v>2051.6780033650684</v>
      </c>
      <c r="X16" s="338" t="s">
        <v>289</v>
      </c>
      <c r="Y16" s="330">
        <v>11</v>
      </c>
      <c r="Z16" s="337" t="s">
        <v>289</v>
      </c>
      <c r="AA16" s="331">
        <v>106.4649</v>
      </c>
      <c r="AB16" s="328">
        <v>0.97899999999999998</v>
      </c>
      <c r="AC16" s="328">
        <v>107.4661</v>
      </c>
      <c r="AD16" s="328">
        <v>0</v>
      </c>
      <c r="AE16" s="328">
        <v>0</v>
      </c>
      <c r="AF16" s="328">
        <v>0</v>
      </c>
      <c r="AG16" s="328">
        <v>1078.1389999999999</v>
      </c>
      <c r="AH16" s="328">
        <v>16</v>
      </c>
      <c r="AI16" s="328">
        <v>1089.0070000000001</v>
      </c>
      <c r="AJ16" s="1471" t="s">
        <v>284</v>
      </c>
    </row>
    <row r="17" spans="1:36" ht="30" customHeight="1">
      <c r="A17" s="324">
        <v>12</v>
      </c>
      <c r="B17" s="333" t="s">
        <v>95</v>
      </c>
      <c r="C17" s="327">
        <v>253</v>
      </c>
      <c r="D17" s="327">
        <v>2</v>
      </c>
      <c r="E17" s="327">
        <v>255</v>
      </c>
      <c r="F17" s="326">
        <v>88</v>
      </c>
      <c r="G17" s="327">
        <v>0</v>
      </c>
      <c r="H17" s="326">
        <v>90</v>
      </c>
      <c r="I17" s="326">
        <v>387</v>
      </c>
      <c r="J17" s="326">
        <v>4</v>
      </c>
      <c r="K17" s="326">
        <v>391</v>
      </c>
      <c r="L17" s="333" t="s">
        <v>203</v>
      </c>
      <c r="M17" s="324">
        <v>12</v>
      </c>
      <c r="N17" s="333" t="s">
        <v>95</v>
      </c>
      <c r="O17" s="328">
        <v>3196.8067490867097</v>
      </c>
      <c r="P17" s="328">
        <v>45.941314260005505</v>
      </c>
      <c r="Q17" s="328">
        <v>3242.7619522356044</v>
      </c>
      <c r="R17" s="328">
        <v>65.88834226887036</v>
      </c>
      <c r="S17" s="328">
        <v>0</v>
      </c>
      <c r="T17" s="328">
        <v>86.908771553391716</v>
      </c>
      <c r="U17" s="328">
        <v>17387.593740085555</v>
      </c>
      <c r="V17" s="328">
        <v>233.01234871899317</v>
      </c>
      <c r="W17" s="328">
        <v>17486.155947352901</v>
      </c>
      <c r="X17" s="334" t="s">
        <v>203</v>
      </c>
      <c r="Y17" s="330">
        <v>12</v>
      </c>
      <c r="Z17" s="333" t="s">
        <v>203</v>
      </c>
      <c r="AA17" s="331">
        <v>2352.7869999999998</v>
      </c>
      <c r="AB17" s="328">
        <v>78.703000000000003</v>
      </c>
      <c r="AC17" s="328">
        <v>2431.498</v>
      </c>
      <c r="AD17" s="328">
        <v>65.888000000000005</v>
      </c>
      <c r="AE17" s="328">
        <v>0</v>
      </c>
      <c r="AF17" s="328">
        <v>86.908770000000004</v>
      </c>
      <c r="AG17" s="328">
        <v>19512.97</v>
      </c>
      <c r="AH17" s="328">
        <v>3483.355</v>
      </c>
      <c r="AI17" s="328">
        <v>21547.7</v>
      </c>
      <c r="AJ17" s="459" t="s">
        <v>95</v>
      </c>
    </row>
    <row r="18" spans="1:36" ht="30" customHeight="1">
      <c r="A18" s="324">
        <v>13</v>
      </c>
      <c r="B18" s="325" t="s">
        <v>94</v>
      </c>
      <c r="C18" s="326">
        <v>2335</v>
      </c>
      <c r="D18" s="326">
        <v>1121</v>
      </c>
      <c r="E18" s="326">
        <v>3456</v>
      </c>
      <c r="F18" s="326">
        <v>0</v>
      </c>
      <c r="G18" s="327">
        <v>0</v>
      </c>
      <c r="H18" s="326">
        <v>0</v>
      </c>
      <c r="I18" s="326">
        <v>11947</v>
      </c>
      <c r="J18" s="326">
        <v>12853</v>
      </c>
      <c r="K18" s="326">
        <v>24799</v>
      </c>
      <c r="L18" s="325" t="s">
        <v>204</v>
      </c>
      <c r="M18" s="324">
        <v>13</v>
      </c>
      <c r="N18" s="325" t="s">
        <v>94</v>
      </c>
      <c r="O18" s="328">
        <v>5754.9005649717501</v>
      </c>
      <c r="P18" s="328">
        <v>1821.9536723163842</v>
      </c>
      <c r="Q18" s="328">
        <v>7449.6008426966255</v>
      </c>
      <c r="R18" s="328">
        <v>0</v>
      </c>
      <c r="S18" s="328">
        <v>0</v>
      </c>
      <c r="T18" s="328">
        <v>0</v>
      </c>
      <c r="U18" s="328">
        <v>51905</v>
      </c>
      <c r="V18" s="328">
        <v>41153.199999999997</v>
      </c>
      <c r="W18" s="328">
        <v>65042</v>
      </c>
      <c r="X18" s="329" t="s">
        <v>204</v>
      </c>
      <c r="Y18" s="330">
        <v>13</v>
      </c>
      <c r="Z18" s="325" t="s">
        <v>204</v>
      </c>
      <c r="AA18" s="331">
        <v>7977.7659999999996</v>
      </c>
      <c r="AB18" s="328">
        <v>1602.2429999999999</v>
      </c>
      <c r="AC18" s="328">
        <v>7280.1959999999999</v>
      </c>
      <c r="AD18" s="328">
        <v>0</v>
      </c>
      <c r="AE18" s="328">
        <v>0</v>
      </c>
      <c r="AF18" s="328">
        <v>0</v>
      </c>
      <c r="AG18" s="328">
        <v>401118</v>
      </c>
      <c r="AH18" s="328">
        <v>41153.199999999997</v>
      </c>
      <c r="AI18" s="328">
        <v>65042</v>
      </c>
      <c r="AJ18" s="1470" t="s">
        <v>94</v>
      </c>
    </row>
    <row r="19" spans="1:36" ht="30" customHeight="1">
      <c r="A19" s="324">
        <v>14</v>
      </c>
      <c r="B19" s="333" t="s">
        <v>105</v>
      </c>
      <c r="C19" s="326">
        <v>726</v>
      </c>
      <c r="D19" s="326">
        <v>108</v>
      </c>
      <c r="E19" s="326">
        <v>835</v>
      </c>
      <c r="F19" s="326">
        <v>4</v>
      </c>
      <c r="G19" s="327">
        <v>0</v>
      </c>
      <c r="H19" s="326">
        <v>4</v>
      </c>
      <c r="I19" s="326">
        <v>1825</v>
      </c>
      <c r="J19" s="326">
        <v>379</v>
      </c>
      <c r="K19" s="326">
        <v>2204</v>
      </c>
      <c r="L19" s="333" t="s">
        <v>205</v>
      </c>
      <c r="M19" s="324">
        <v>14</v>
      </c>
      <c r="N19" s="333" t="s">
        <v>105</v>
      </c>
      <c r="O19" s="328">
        <v>1722.8043766301621</v>
      </c>
      <c r="P19" s="328">
        <v>90.969965380448187</v>
      </c>
      <c r="Q19" s="328">
        <v>1813.7326753439434</v>
      </c>
      <c r="R19" s="328">
        <v>0</v>
      </c>
      <c r="S19" s="328">
        <v>0</v>
      </c>
      <c r="T19" s="328">
        <v>0</v>
      </c>
      <c r="U19" s="328">
        <v>21275.84118407108</v>
      </c>
      <c r="V19" s="328">
        <v>603.88542835931298</v>
      </c>
      <c r="W19" s="328">
        <v>21879.726612430364</v>
      </c>
      <c r="X19" s="334" t="s">
        <v>205</v>
      </c>
      <c r="Y19" s="330">
        <v>14</v>
      </c>
      <c r="Z19" s="333" t="s">
        <v>205</v>
      </c>
      <c r="AA19" s="331">
        <v>812.37360000000001</v>
      </c>
      <c r="AB19" s="328">
        <v>56.040399999999998</v>
      </c>
      <c r="AC19" s="328">
        <v>868.37450000000001</v>
      </c>
      <c r="AD19" s="328">
        <v>0</v>
      </c>
      <c r="AE19" s="328">
        <v>0</v>
      </c>
      <c r="AF19" s="328">
        <v>0</v>
      </c>
      <c r="AG19" s="328">
        <v>8225.26</v>
      </c>
      <c r="AH19" s="328">
        <v>561.71320000000003</v>
      </c>
      <c r="AI19" s="328">
        <v>8786.973</v>
      </c>
      <c r="AJ19" s="459" t="s">
        <v>105</v>
      </c>
    </row>
    <row r="20" spans="1:36" ht="30" customHeight="1">
      <c r="A20" s="324">
        <v>15</v>
      </c>
      <c r="B20" s="333" t="s">
        <v>85</v>
      </c>
      <c r="C20" s="326">
        <v>665</v>
      </c>
      <c r="D20" s="326">
        <v>37</v>
      </c>
      <c r="E20" s="326">
        <v>703</v>
      </c>
      <c r="F20" s="326">
        <v>0</v>
      </c>
      <c r="G20" s="327">
        <v>0</v>
      </c>
      <c r="H20" s="326">
        <v>0</v>
      </c>
      <c r="I20" s="326">
        <v>2724</v>
      </c>
      <c r="J20" s="326">
        <v>155</v>
      </c>
      <c r="K20" s="326">
        <v>2879</v>
      </c>
      <c r="L20" s="333" t="s">
        <v>213</v>
      </c>
      <c r="M20" s="324">
        <v>15</v>
      </c>
      <c r="N20" s="333" t="s">
        <v>85</v>
      </c>
      <c r="O20" s="328">
        <v>548.45557625797107</v>
      </c>
      <c r="P20" s="328">
        <v>125.19451524735824</v>
      </c>
      <c r="Q20" s="328">
        <v>673.64870261644057</v>
      </c>
      <c r="R20" s="328">
        <v>0</v>
      </c>
      <c r="S20" s="328">
        <v>0</v>
      </c>
      <c r="T20" s="328">
        <v>0</v>
      </c>
      <c r="U20" s="328">
        <v>4228.5</v>
      </c>
      <c r="V20" s="328">
        <v>1146</v>
      </c>
      <c r="W20" s="328">
        <v>4804</v>
      </c>
      <c r="X20" s="334" t="s">
        <v>213</v>
      </c>
      <c r="Y20" s="330">
        <v>15</v>
      </c>
      <c r="Z20" s="333" t="s">
        <v>213</v>
      </c>
      <c r="AA20" s="331">
        <v>652.69960000000003</v>
      </c>
      <c r="AB20" s="328">
        <v>125.90949999999999</v>
      </c>
      <c r="AC20" s="328">
        <v>778.60910000000001</v>
      </c>
      <c r="AD20" s="328">
        <v>0</v>
      </c>
      <c r="AE20" s="328">
        <v>0</v>
      </c>
      <c r="AF20" s="328">
        <v>0</v>
      </c>
      <c r="AG20" s="328">
        <v>6970.92</v>
      </c>
      <c r="AH20" s="328">
        <v>1146</v>
      </c>
      <c r="AI20" s="328">
        <v>7782.7539999999999</v>
      </c>
      <c r="AJ20" s="459" t="s">
        <v>85</v>
      </c>
    </row>
    <row r="21" spans="1:36" ht="30" customHeight="1">
      <c r="A21" s="324">
        <v>16</v>
      </c>
      <c r="B21" s="333" t="s">
        <v>91</v>
      </c>
      <c r="C21" s="326">
        <v>328</v>
      </c>
      <c r="D21" s="326">
        <v>78</v>
      </c>
      <c r="E21" s="326">
        <v>407</v>
      </c>
      <c r="F21" s="326">
        <v>38</v>
      </c>
      <c r="G21" s="327">
        <v>0</v>
      </c>
      <c r="H21" s="326">
        <v>38</v>
      </c>
      <c r="I21" s="326">
        <v>1363</v>
      </c>
      <c r="J21" s="326">
        <v>468</v>
      </c>
      <c r="K21" s="326">
        <v>1831</v>
      </c>
      <c r="L21" s="333" t="s">
        <v>290</v>
      </c>
      <c r="M21" s="324">
        <v>16</v>
      </c>
      <c r="N21" s="333" t="s">
        <v>91</v>
      </c>
      <c r="O21" s="328">
        <v>716.85913748288328</v>
      </c>
      <c r="P21" s="328">
        <v>94.987525250739679</v>
      </c>
      <c r="Q21" s="328">
        <v>811.84666273362348</v>
      </c>
      <c r="R21" s="328">
        <v>14.067304173428022</v>
      </c>
      <c r="S21" s="328">
        <v>0</v>
      </c>
      <c r="T21" s="328">
        <v>14.067304173428022</v>
      </c>
      <c r="U21" s="328">
        <v>5908.6626111104861</v>
      </c>
      <c r="V21" s="328">
        <v>948.05446372261406</v>
      </c>
      <c r="W21" s="328">
        <v>6538.8938512105906</v>
      </c>
      <c r="X21" s="334" t="s">
        <v>290</v>
      </c>
      <c r="Y21" s="330">
        <v>16</v>
      </c>
      <c r="Z21" s="333" t="s">
        <v>290</v>
      </c>
      <c r="AA21" s="331">
        <v>303.5093</v>
      </c>
      <c r="AB21" s="328">
        <v>52.01</v>
      </c>
      <c r="AC21" s="328">
        <v>355.51940000000002</v>
      </c>
      <c r="AD21" s="328">
        <v>0</v>
      </c>
      <c r="AE21" s="328">
        <v>0</v>
      </c>
      <c r="AF21" s="328">
        <v>0</v>
      </c>
      <c r="AG21" s="328">
        <v>2896.828</v>
      </c>
      <c r="AH21" s="328">
        <v>754.06979999999999</v>
      </c>
      <c r="AI21" s="328">
        <v>3650.8969999999999</v>
      </c>
      <c r="AJ21" s="459" t="s">
        <v>91</v>
      </c>
    </row>
    <row r="22" spans="1:36" ht="39.75" customHeight="1">
      <c r="A22" s="273" t="s">
        <v>291</v>
      </c>
      <c r="B22" s="273"/>
      <c r="C22" s="273"/>
      <c r="D22" s="273"/>
      <c r="G22" s="315" t="s">
        <v>292</v>
      </c>
      <c r="J22" s="273"/>
      <c r="K22" s="273"/>
      <c r="L22" s="273"/>
      <c r="M22" s="273" t="s">
        <v>291</v>
      </c>
      <c r="N22" s="273"/>
      <c r="O22" s="273"/>
      <c r="P22" s="273"/>
      <c r="S22" s="315" t="s">
        <v>619</v>
      </c>
      <c r="V22" s="273"/>
      <c r="W22" s="273"/>
      <c r="X22" s="273"/>
      <c r="Y22" s="2513" t="s">
        <v>742</v>
      </c>
      <c r="Z22" s="2514"/>
      <c r="AA22" s="2514"/>
      <c r="AB22" s="2514"/>
      <c r="AD22" s="315" t="s">
        <v>666</v>
      </c>
      <c r="AH22" s="273"/>
      <c r="AI22" s="273"/>
      <c r="AJ22" s="339"/>
    </row>
    <row r="23" spans="1:36" ht="20.100000000000001" customHeight="1">
      <c r="A23" s="315" t="s">
        <v>106</v>
      </c>
      <c r="B23" s="317"/>
      <c r="C23" s="315"/>
      <c r="H23" s="2518" t="s">
        <v>133</v>
      </c>
      <c r="I23" s="2518"/>
      <c r="J23" s="2518"/>
      <c r="K23" s="2518"/>
      <c r="L23" s="2518"/>
      <c r="M23" s="315" t="s">
        <v>106</v>
      </c>
      <c r="N23" s="317"/>
      <c r="T23" s="2518" t="s">
        <v>133</v>
      </c>
      <c r="U23" s="2518"/>
      <c r="V23" s="2518"/>
      <c r="W23" s="2518"/>
      <c r="X23" s="2518"/>
      <c r="Y23" s="321" t="s">
        <v>106</v>
      </c>
      <c r="Z23" s="317"/>
      <c r="AJ23" s="340"/>
    </row>
    <row r="24" spans="1:36" ht="15.75" thickBot="1">
      <c r="Y24" s="341" t="s">
        <v>133</v>
      </c>
      <c r="Z24" s="342"/>
      <c r="AA24" s="312" t="s">
        <v>679</v>
      </c>
      <c r="AB24" s="342"/>
      <c r="AC24" s="342"/>
      <c r="AD24" s="342"/>
      <c r="AE24" s="342"/>
      <c r="AF24" s="342"/>
      <c r="AG24" s="342"/>
      <c r="AH24" s="342"/>
      <c r="AI24" s="342"/>
      <c r="AJ24" s="343"/>
    </row>
    <row r="25" spans="1:36" ht="15.75" thickTop="1"/>
    <row r="26" spans="1:36">
      <c r="I26" s="315" t="s">
        <v>293</v>
      </c>
    </row>
    <row r="172" spans="7:7">
      <c r="G172" s="273" t="s">
        <v>532</v>
      </c>
    </row>
  </sheetData>
  <mergeCells count="27">
    <mergeCell ref="H23:L23"/>
    <mergeCell ref="A1:L1"/>
    <mergeCell ref="L4:L5"/>
    <mergeCell ref="A4:A5"/>
    <mergeCell ref="B4:B5"/>
    <mergeCell ref="C4:E4"/>
    <mergeCell ref="F4:H4"/>
    <mergeCell ref="I4:K4"/>
    <mergeCell ref="A2:L2"/>
    <mergeCell ref="T23:X23"/>
    <mergeCell ref="M1:X1"/>
    <mergeCell ref="M2:X2"/>
    <mergeCell ref="M4:M5"/>
    <mergeCell ref="N4:N5"/>
    <mergeCell ref="O4:Q4"/>
    <mergeCell ref="R4:T4"/>
    <mergeCell ref="U4:W4"/>
    <mergeCell ref="X4:X5"/>
    <mergeCell ref="Y22:AB22"/>
    <mergeCell ref="Y1:AJ1"/>
    <mergeCell ref="Y2:AJ2"/>
    <mergeCell ref="Y4:Y5"/>
    <mergeCell ref="AJ4:AJ5"/>
    <mergeCell ref="AA4:AC4"/>
    <mergeCell ref="AD4:AF4"/>
    <mergeCell ref="AG4:AI4"/>
    <mergeCell ref="Z4:Z5"/>
  </mergeCells>
  <conditionalFormatting sqref="Y6:AJ21">
    <cfRule type="expression" dxfId="8" priority="1">
      <formula>MOD(ROW(),3)=1</formula>
    </cfRule>
  </conditionalFormatting>
  <printOptions horizontalCentered="1"/>
  <pageMargins left="0.70866141732283472" right="0.70866141732283472" top="0.51181102362204722" bottom="0.39370078740157483" header="0.31496062992125984" footer="0.31496062992125984"/>
  <pageSetup paperSize="9" scale="75" fitToWidth="0" fitToHeight="0" orientation="landscape" r:id="rId1"/>
  <colBreaks count="2" manualBreakCount="2">
    <brk id="12" max="23" man="1"/>
    <brk id="24" max="23" man="1"/>
  </colBreaks>
  <legacyDrawingHF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D171"/>
  <sheetViews>
    <sheetView view="pageBreakPreview" topLeftCell="P1" zoomScaleSheetLayoutView="100" workbookViewId="0">
      <selection activeCell="S17" sqref="S17"/>
    </sheetView>
  </sheetViews>
  <sheetFormatPr defaultRowHeight="15"/>
  <cols>
    <col min="1" max="1" width="9.140625" style="9" hidden="1" customWidth="1"/>
    <col min="2" max="2" width="29.5703125" style="103" hidden="1" customWidth="1"/>
    <col min="3" max="14" width="12.7109375" hidden="1" customWidth="1"/>
    <col min="15" max="15" width="30.42578125" style="103" hidden="1" customWidth="1"/>
    <col min="17" max="17" width="27" customWidth="1"/>
    <col min="18" max="18" width="14.28515625" customWidth="1"/>
    <col min="19" max="19" width="12.7109375" customWidth="1"/>
    <col min="20" max="21" width="14.7109375" customWidth="1"/>
    <col min="22" max="22" width="14" customWidth="1"/>
    <col min="23" max="24" width="14.7109375" customWidth="1"/>
    <col min="25" max="25" width="12.7109375" customWidth="1"/>
    <col min="26" max="26" width="14.42578125" customWidth="1"/>
    <col min="27" max="27" width="12.7109375" customWidth="1"/>
    <col min="28" max="28" width="15.140625" customWidth="1"/>
    <col min="29" max="29" width="9.85546875" customWidth="1"/>
    <col min="30" max="30" width="25.5703125" customWidth="1"/>
  </cols>
  <sheetData>
    <row r="1" spans="1:30" ht="16.5" thickTop="1">
      <c r="A1" s="2520" t="s">
        <v>669</v>
      </c>
      <c r="B1" s="2520"/>
      <c r="C1" s="2520"/>
      <c r="D1" s="2520"/>
      <c r="E1" s="2520"/>
      <c r="F1" s="2520"/>
      <c r="G1" s="2520"/>
      <c r="H1" s="2520"/>
      <c r="I1" s="2520"/>
      <c r="J1" s="2520"/>
      <c r="K1" s="2520"/>
      <c r="L1" s="2520"/>
      <c r="M1" s="2520"/>
      <c r="N1" s="2520"/>
      <c r="O1" s="2520"/>
      <c r="P1" s="2274" t="s">
        <v>2825</v>
      </c>
      <c r="Q1" s="2275"/>
      <c r="R1" s="2275"/>
      <c r="S1" s="2275"/>
      <c r="T1" s="2275"/>
      <c r="U1" s="2275"/>
      <c r="V1" s="2275"/>
      <c r="W1" s="2275"/>
      <c r="X1" s="2275"/>
      <c r="Y1" s="2275"/>
      <c r="Z1" s="2275"/>
      <c r="AA1" s="2275"/>
      <c r="AB1" s="2275"/>
      <c r="AC1" s="2275"/>
      <c r="AD1" s="2276"/>
    </row>
    <row r="2" spans="1:30" ht="15" customHeight="1">
      <c r="A2" s="2521" t="s">
        <v>670</v>
      </c>
      <c r="B2" s="2521"/>
      <c r="C2" s="2521"/>
      <c r="D2" s="2521"/>
      <c r="E2" s="2521"/>
      <c r="F2" s="2521"/>
      <c r="G2" s="2521"/>
      <c r="H2" s="2521"/>
      <c r="I2" s="2521"/>
      <c r="J2" s="2521"/>
      <c r="K2" s="2521"/>
      <c r="L2" s="2521"/>
      <c r="M2" s="2521"/>
      <c r="N2" s="2521"/>
      <c r="O2" s="2521"/>
      <c r="P2" s="2527" t="s">
        <v>2826</v>
      </c>
      <c r="Q2" s="2521"/>
      <c r="R2" s="2521"/>
      <c r="S2" s="2521"/>
      <c r="T2" s="2521"/>
      <c r="U2" s="2521"/>
      <c r="V2" s="2521"/>
      <c r="W2" s="2521"/>
      <c r="X2" s="2521"/>
      <c r="Y2" s="2521"/>
      <c r="Z2" s="2521"/>
      <c r="AA2" s="2521"/>
      <c r="AB2" s="2521"/>
      <c r="AC2" s="2521"/>
      <c r="AD2" s="2528"/>
    </row>
    <row r="3" spans="1:30">
      <c r="P3" s="136"/>
      <c r="Q3" s="103"/>
      <c r="S3" s="373"/>
      <c r="AD3" s="175"/>
    </row>
    <row r="4" spans="1:30">
      <c r="N4" t="s">
        <v>548</v>
      </c>
      <c r="P4" s="136"/>
      <c r="Q4" s="103"/>
      <c r="AC4" t="s">
        <v>672</v>
      </c>
      <c r="AD4" s="175"/>
    </row>
    <row r="5" spans="1:30" s="103" customFormat="1" ht="54.75" customHeight="1">
      <c r="A5" s="2324" t="s">
        <v>579</v>
      </c>
      <c r="B5" s="2324" t="s">
        <v>578</v>
      </c>
      <c r="C5" s="2324" t="s">
        <v>607</v>
      </c>
      <c r="D5" s="2324"/>
      <c r="E5" s="2324" t="s">
        <v>608</v>
      </c>
      <c r="F5" s="2324"/>
      <c r="G5" s="2524" t="s">
        <v>580</v>
      </c>
      <c r="H5" s="2524" t="s">
        <v>614</v>
      </c>
      <c r="I5" s="2524" t="s">
        <v>610</v>
      </c>
      <c r="J5" s="2524" t="s">
        <v>576</v>
      </c>
      <c r="K5" s="2524" t="s">
        <v>609</v>
      </c>
      <c r="L5" s="2524" t="s">
        <v>611</v>
      </c>
      <c r="M5" s="2524" t="s">
        <v>612</v>
      </c>
      <c r="N5" s="2524" t="s">
        <v>613</v>
      </c>
      <c r="O5" s="2525" t="s">
        <v>577</v>
      </c>
      <c r="P5" s="2323" t="s">
        <v>688</v>
      </c>
      <c r="Q5" s="2324" t="s">
        <v>577</v>
      </c>
      <c r="R5" s="2530" t="s">
        <v>743</v>
      </c>
      <c r="S5" s="2324"/>
      <c r="T5" s="2324" t="s">
        <v>744</v>
      </c>
      <c r="U5" s="2324"/>
      <c r="V5" s="2324" t="s">
        <v>747</v>
      </c>
      <c r="W5" s="2324" t="s">
        <v>748</v>
      </c>
      <c r="X5" s="2324" t="s">
        <v>749</v>
      </c>
      <c r="Y5" s="2324" t="s">
        <v>750</v>
      </c>
      <c r="Z5" s="2324" t="s">
        <v>751</v>
      </c>
      <c r="AA5" s="2324" t="s">
        <v>752</v>
      </c>
      <c r="AB5" s="2324" t="s">
        <v>753</v>
      </c>
      <c r="AC5" s="2324" t="s">
        <v>754</v>
      </c>
      <c r="AD5" s="2529" t="s">
        <v>578</v>
      </c>
    </row>
    <row r="6" spans="1:30" s="102" customFormat="1" ht="152.25" customHeight="1">
      <c r="A6" s="2324"/>
      <c r="B6" s="2324"/>
      <c r="C6" s="111" t="s">
        <v>618</v>
      </c>
      <c r="D6" s="111" t="s">
        <v>617</v>
      </c>
      <c r="E6" s="111" t="s">
        <v>616</v>
      </c>
      <c r="F6" s="111" t="s">
        <v>615</v>
      </c>
      <c r="G6" s="2524"/>
      <c r="H6" s="2524"/>
      <c r="I6" s="2524"/>
      <c r="J6" s="2524"/>
      <c r="K6" s="2524"/>
      <c r="L6" s="2524"/>
      <c r="M6" s="2524"/>
      <c r="N6" s="2524"/>
      <c r="O6" s="2525"/>
      <c r="P6" s="2323"/>
      <c r="Q6" s="2324"/>
      <c r="R6" s="1730" t="s">
        <v>745</v>
      </c>
      <c r="S6" s="1162" t="s">
        <v>746</v>
      </c>
      <c r="T6" s="1162" t="s">
        <v>745</v>
      </c>
      <c r="U6" s="1162" t="s">
        <v>746</v>
      </c>
      <c r="V6" s="2324"/>
      <c r="W6" s="2324"/>
      <c r="X6" s="2324"/>
      <c r="Y6" s="2324"/>
      <c r="Z6" s="2324"/>
      <c r="AA6" s="2324"/>
      <c r="AB6" s="2324"/>
      <c r="AC6" s="2324"/>
      <c r="AD6" s="2529"/>
    </row>
    <row r="7" spans="1:30" s="112" customFormat="1">
      <c r="A7" s="91" t="s">
        <v>534</v>
      </c>
      <c r="B7" s="92" t="s">
        <v>535</v>
      </c>
      <c r="C7" s="110" t="s">
        <v>536</v>
      </c>
      <c r="D7" s="110" t="s">
        <v>537</v>
      </c>
      <c r="E7" s="110" t="s">
        <v>538</v>
      </c>
      <c r="F7" s="110" t="s">
        <v>539</v>
      </c>
      <c r="G7" s="110" t="s">
        <v>540</v>
      </c>
      <c r="H7" s="110" t="s">
        <v>541</v>
      </c>
      <c r="I7" s="110" t="s">
        <v>542</v>
      </c>
      <c r="J7" s="110" t="s">
        <v>543</v>
      </c>
      <c r="K7" s="110" t="s">
        <v>544</v>
      </c>
      <c r="L7" s="110" t="s">
        <v>545</v>
      </c>
      <c r="M7" s="110" t="s">
        <v>546</v>
      </c>
      <c r="N7" s="110" t="s">
        <v>547</v>
      </c>
      <c r="O7" s="173" t="s">
        <v>535</v>
      </c>
      <c r="P7" s="1157" t="s">
        <v>534</v>
      </c>
      <c r="Q7" s="92" t="s">
        <v>535</v>
      </c>
      <c r="R7" s="228" t="s">
        <v>536</v>
      </c>
      <c r="S7" s="110" t="s">
        <v>537</v>
      </c>
      <c r="T7" s="110" t="s">
        <v>538</v>
      </c>
      <c r="U7" s="110" t="s">
        <v>539</v>
      </c>
      <c r="V7" s="110" t="s">
        <v>540</v>
      </c>
      <c r="W7" s="110" t="s">
        <v>541</v>
      </c>
      <c r="X7" s="110" t="s">
        <v>542</v>
      </c>
      <c r="Y7" s="110" t="s">
        <v>543</v>
      </c>
      <c r="Z7" s="110" t="s">
        <v>544</v>
      </c>
      <c r="AA7" s="110" t="s">
        <v>545</v>
      </c>
      <c r="AB7" s="110" t="s">
        <v>546</v>
      </c>
      <c r="AC7" s="110" t="s">
        <v>547</v>
      </c>
      <c r="AD7" s="1472" t="s">
        <v>535</v>
      </c>
    </row>
    <row r="8" spans="1:30" ht="35.1" customHeight="1">
      <c r="A8" s="5">
        <v>1</v>
      </c>
      <c r="B8" s="12" t="s">
        <v>549</v>
      </c>
      <c r="C8" s="113">
        <v>327.33319653830313</v>
      </c>
      <c r="D8" s="113">
        <v>13.206494923866277</v>
      </c>
      <c r="E8" s="113">
        <v>20.149684196046092</v>
      </c>
      <c r="F8" s="113">
        <v>13.148979669549309</v>
      </c>
      <c r="G8" s="113">
        <v>379.3384551877524</v>
      </c>
      <c r="H8" s="113">
        <v>333.87568648158901</v>
      </c>
      <c r="I8" s="113">
        <v>23.538305377394025</v>
      </c>
      <c r="J8" s="113">
        <v>30.233888340692012</v>
      </c>
      <c r="K8" s="113">
        <v>54.471888893380644</v>
      </c>
      <c r="L8" s="113">
        <v>332.72572146521583</v>
      </c>
      <c r="M8" s="113">
        <v>1865.0014706939394</v>
      </c>
      <c r="N8" s="113">
        <f t="shared" ref="N8:N35" si="0">K8/H8</f>
        <v>0.16315021158746282</v>
      </c>
      <c r="O8" s="106" t="s">
        <v>581</v>
      </c>
      <c r="P8" s="176">
        <v>1</v>
      </c>
      <c r="Q8" s="12" t="s">
        <v>581</v>
      </c>
      <c r="R8" s="241"/>
      <c r="S8" s="113"/>
      <c r="T8" s="113"/>
      <c r="U8" s="113"/>
      <c r="V8" s="113"/>
      <c r="W8" s="113"/>
      <c r="X8" s="113"/>
      <c r="Y8" s="113"/>
      <c r="Z8" s="113"/>
      <c r="AA8" s="113"/>
      <c r="AB8" s="113"/>
      <c r="AC8" s="113"/>
      <c r="AD8" s="862" t="s">
        <v>549</v>
      </c>
    </row>
    <row r="9" spans="1:30" ht="45" customHeight="1">
      <c r="A9" s="5">
        <v>2</v>
      </c>
      <c r="B9" s="12" t="s">
        <v>550</v>
      </c>
      <c r="C9" s="113">
        <v>441.09748038773313</v>
      </c>
      <c r="D9" s="113">
        <v>343.36886802052322</v>
      </c>
      <c r="E9" s="113">
        <v>129.0579057903854</v>
      </c>
      <c r="F9" s="113">
        <v>341.87347140828206</v>
      </c>
      <c r="G9" s="113">
        <v>1392.5356862581457</v>
      </c>
      <c r="H9" s="113">
        <v>1057.5305589268617</v>
      </c>
      <c r="I9" s="113">
        <v>611.99593981224461</v>
      </c>
      <c r="J9" s="113">
        <v>574.48454456105492</v>
      </c>
      <c r="K9" s="113">
        <v>1201.2401810738247</v>
      </c>
      <c r="L9" s="113">
        <v>8484.0363561044833</v>
      </c>
      <c r="M9" s="113">
        <v>41110.243047884811</v>
      </c>
      <c r="N9" s="113">
        <f t="shared" si="0"/>
        <v>1.1358916968723756</v>
      </c>
      <c r="O9" s="106" t="s">
        <v>645</v>
      </c>
      <c r="P9" s="176">
        <v>2</v>
      </c>
      <c r="Q9" s="12" t="s">
        <v>645</v>
      </c>
      <c r="R9" s="241"/>
      <c r="S9" s="113"/>
      <c r="T9" s="113"/>
      <c r="U9" s="113"/>
      <c r="V9" s="113"/>
      <c r="W9" s="113"/>
      <c r="X9" s="113"/>
      <c r="Y9" s="113"/>
      <c r="Z9" s="113"/>
      <c r="AA9" s="113"/>
      <c r="AB9" s="113"/>
      <c r="AC9" s="113"/>
      <c r="AD9" s="862" t="s">
        <v>550</v>
      </c>
    </row>
    <row r="10" spans="1:30" ht="35.1" customHeight="1">
      <c r="A10" s="5">
        <v>3</v>
      </c>
      <c r="B10" s="12" t="s">
        <v>551</v>
      </c>
      <c r="C10" s="113">
        <v>2485.3331890546997</v>
      </c>
      <c r="D10" s="113">
        <v>87.962890556985343</v>
      </c>
      <c r="E10" s="113">
        <v>1338.8094476085491</v>
      </c>
      <c r="F10" s="113">
        <v>260.56788320227736</v>
      </c>
      <c r="G10" s="113">
        <v>4169.2442273178012</v>
      </c>
      <c r="H10" s="113">
        <v>3187.7837858532394</v>
      </c>
      <c r="I10" s="113">
        <v>27.065920258675188</v>
      </c>
      <c r="J10" s="113">
        <v>143.60365709906796</v>
      </c>
      <c r="K10" s="113">
        <v>170.66953913179432</v>
      </c>
      <c r="L10" s="113">
        <v>186.23130464541956</v>
      </c>
      <c r="M10" s="113">
        <v>2965.0061125329562</v>
      </c>
      <c r="N10" s="113">
        <f t="shared" si="0"/>
        <v>5.3538618236654678E-2</v>
      </c>
      <c r="O10" s="106" t="s">
        <v>582</v>
      </c>
      <c r="P10" s="176">
        <v>3</v>
      </c>
      <c r="Q10" s="12" t="s">
        <v>582</v>
      </c>
      <c r="R10" s="241"/>
      <c r="S10" s="113"/>
      <c r="T10" s="113"/>
      <c r="U10" s="113"/>
      <c r="V10" s="113"/>
      <c r="W10" s="113"/>
      <c r="X10" s="113"/>
      <c r="Y10" s="113"/>
      <c r="Z10" s="113"/>
      <c r="AA10" s="113"/>
      <c r="AB10" s="113"/>
      <c r="AC10" s="113"/>
      <c r="AD10" s="862" t="s">
        <v>551</v>
      </c>
    </row>
    <row r="11" spans="1:30" ht="35.1" customHeight="1">
      <c r="A11" s="5">
        <v>4</v>
      </c>
      <c r="B11" s="12" t="s">
        <v>552</v>
      </c>
      <c r="C11" s="113">
        <v>4040.3196443327852</v>
      </c>
      <c r="D11" s="113">
        <v>603.26975327990999</v>
      </c>
      <c r="E11" s="113">
        <v>571.19132115682123</v>
      </c>
      <c r="F11" s="113">
        <v>619.68729156332745</v>
      </c>
      <c r="G11" s="113">
        <v>5834.4680103328428</v>
      </c>
      <c r="H11" s="113">
        <v>5403.5333523105519</v>
      </c>
      <c r="I11" s="113">
        <v>1712.6878928581718</v>
      </c>
      <c r="J11" s="113">
        <v>369.95224206065177</v>
      </c>
      <c r="K11" s="113">
        <v>2082.6401377422935</v>
      </c>
      <c r="L11" s="113">
        <v>61.656070378121647</v>
      </c>
      <c r="M11" s="113">
        <v>1045.610333508557</v>
      </c>
      <c r="N11" s="113">
        <f t="shared" si="0"/>
        <v>0.38542190858353009</v>
      </c>
      <c r="O11" s="106" t="s">
        <v>583</v>
      </c>
      <c r="P11" s="176">
        <v>4</v>
      </c>
      <c r="Q11" s="12" t="s">
        <v>583</v>
      </c>
      <c r="R11" s="241">
        <v>744509.32999999984</v>
      </c>
      <c r="S11" s="113">
        <v>159756.28</v>
      </c>
      <c r="T11" s="113">
        <v>110862.66999999998</v>
      </c>
      <c r="U11" s="113">
        <v>154118.56000000003</v>
      </c>
      <c r="V11" s="113">
        <v>1169246.8399999999</v>
      </c>
      <c r="W11" s="113">
        <v>1073381.77</v>
      </c>
      <c r="X11" s="113">
        <v>354038.77096944599</v>
      </c>
      <c r="Y11" s="113">
        <v>79307.529788469255</v>
      </c>
      <c r="Z11" s="113">
        <v>433346.13480674993</v>
      </c>
      <c r="AA11" s="113">
        <v>82091.09</v>
      </c>
      <c r="AB11" s="113">
        <v>634595.42000000016</v>
      </c>
      <c r="AC11" s="113">
        <v>40.372041608900247</v>
      </c>
      <c r="AD11" s="862" t="s">
        <v>552</v>
      </c>
    </row>
    <row r="12" spans="1:30" ht="35.1" customHeight="1">
      <c r="A12" s="5">
        <v>5</v>
      </c>
      <c r="B12" s="12" t="s">
        <v>553</v>
      </c>
      <c r="C12" s="113">
        <v>32183.694265155998</v>
      </c>
      <c r="D12" s="113">
        <v>705.14913304419906</v>
      </c>
      <c r="E12" s="113">
        <v>9738.5904423665761</v>
      </c>
      <c r="F12" s="113">
        <v>956.74247028292348</v>
      </c>
      <c r="G12" s="113">
        <v>43576.20488722813</v>
      </c>
      <c r="H12" s="113">
        <v>34535.685452184072</v>
      </c>
      <c r="I12" s="113">
        <v>2490.119923994876</v>
      </c>
      <c r="J12" s="113">
        <v>799.27696154675698</v>
      </c>
      <c r="K12" s="113">
        <v>3289.386622019148</v>
      </c>
      <c r="L12" s="113">
        <v>781.55962240310726</v>
      </c>
      <c r="M12" s="113">
        <v>26657.703012531569</v>
      </c>
      <c r="N12" s="113">
        <f t="shared" si="0"/>
        <v>9.5246021005531367E-2</v>
      </c>
      <c r="O12" s="106" t="s">
        <v>584</v>
      </c>
      <c r="P12" s="176">
        <v>5</v>
      </c>
      <c r="Q12" s="12" t="s">
        <v>584</v>
      </c>
      <c r="R12" s="241"/>
      <c r="S12" s="113"/>
      <c r="T12" s="113"/>
      <c r="U12" s="113"/>
      <c r="V12" s="113"/>
      <c r="W12" s="113"/>
      <c r="X12" s="113"/>
      <c r="Y12" s="113"/>
      <c r="Z12" s="113"/>
      <c r="AA12" s="113"/>
      <c r="AB12" s="113"/>
      <c r="AC12" s="113"/>
      <c r="AD12" s="862" t="s">
        <v>553</v>
      </c>
    </row>
    <row r="13" spans="1:30" ht="35.1" customHeight="1">
      <c r="A13" s="5">
        <v>6</v>
      </c>
      <c r="B13" s="12" t="s">
        <v>554</v>
      </c>
      <c r="C13" s="113">
        <v>3660.0992015483193</v>
      </c>
      <c r="D13" s="113">
        <v>3724.8762745321856</v>
      </c>
      <c r="E13" s="113">
        <v>1150.8414079817098</v>
      </c>
      <c r="F13" s="113">
        <v>1375.6131225752924</v>
      </c>
      <c r="G13" s="113">
        <v>9911.4297002621552</v>
      </c>
      <c r="H13" s="113">
        <v>9000.9904239024509</v>
      </c>
      <c r="I13" s="113">
        <v>6758.2635685984724</v>
      </c>
      <c r="J13" s="113">
        <v>657.00951596698826</v>
      </c>
      <c r="K13" s="113">
        <v>7415.2718620597534</v>
      </c>
      <c r="L13" s="113">
        <v>722.28668537439171</v>
      </c>
      <c r="M13" s="113">
        <v>2666.6943870769819</v>
      </c>
      <c r="N13" s="113">
        <f t="shared" si="0"/>
        <v>0.8238284358539294</v>
      </c>
      <c r="O13" s="106" t="s">
        <v>585</v>
      </c>
      <c r="P13" s="176">
        <v>6</v>
      </c>
      <c r="Q13" s="12" t="s">
        <v>585</v>
      </c>
      <c r="R13" s="241">
        <v>780073.10864354577</v>
      </c>
      <c r="S13" s="113">
        <v>680541.35140083404</v>
      </c>
      <c r="T13" s="113">
        <v>175114.7777618593</v>
      </c>
      <c r="U13" s="113">
        <v>294026.4108511777</v>
      </c>
      <c r="V13" s="113">
        <v>1929755.6486574167</v>
      </c>
      <c r="W13" s="113">
        <v>1741084.2713003878</v>
      </c>
      <c r="X13" s="113">
        <v>1244054.9339198309</v>
      </c>
      <c r="Y13" s="113">
        <v>182500.84133024921</v>
      </c>
      <c r="Z13" s="113">
        <v>1426555.6693119493</v>
      </c>
      <c r="AA13" s="113">
        <v>289009.54845536529</v>
      </c>
      <c r="AB13" s="113">
        <v>543323.25320686155</v>
      </c>
      <c r="AC13" s="113">
        <v>81.934900729789362</v>
      </c>
      <c r="AD13" s="862" t="s">
        <v>554</v>
      </c>
    </row>
    <row r="14" spans="1:30" ht="39.950000000000003" customHeight="1">
      <c r="A14" s="5">
        <v>7</v>
      </c>
      <c r="B14" s="12" t="s">
        <v>555</v>
      </c>
      <c r="C14" s="113">
        <v>0</v>
      </c>
      <c r="D14" s="113">
        <v>0</v>
      </c>
      <c r="E14" s="113">
        <v>0</v>
      </c>
      <c r="F14" s="113">
        <v>0</v>
      </c>
      <c r="G14" s="113">
        <v>9.4253673514933407</v>
      </c>
      <c r="H14" s="113">
        <v>3.1702161308507799</v>
      </c>
      <c r="I14" s="113">
        <v>0</v>
      </c>
      <c r="J14" s="113">
        <v>0</v>
      </c>
      <c r="K14" s="113">
        <v>0</v>
      </c>
      <c r="L14" s="113">
        <v>2.0757326220929522</v>
      </c>
      <c r="M14" s="113">
        <v>2.0757326220929522</v>
      </c>
      <c r="N14" s="113">
        <f t="shared" si="0"/>
        <v>0</v>
      </c>
      <c r="O14" s="106" t="s">
        <v>586</v>
      </c>
      <c r="P14" s="176">
        <v>7</v>
      </c>
      <c r="Q14" s="12" t="s">
        <v>586</v>
      </c>
      <c r="R14" s="241"/>
      <c r="S14" s="113"/>
      <c r="T14" s="113"/>
      <c r="U14" s="113"/>
      <c r="V14" s="113"/>
      <c r="W14" s="113"/>
      <c r="X14" s="113"/>
      <c r="Y14" s="113"/>
      <c r="Z14" s="113"/>
      <c r="AA14" s="113"/>
      <c r="AB14" s="113"/>
      <c r="AC14" s="113"/>
      <c r="AD14" s="862" t="s">
        <v>555</v>
      </c>
    </row>
    <row r="15" spans="1:30" ht="39.950000000000003" customHeight="1">
      <c r="A15" s="5">
        <v>8</v>
      </c>
      <c r="B15" s="12" t="s">
        <v>556</v>
      </c>
      <c r="C15" s="113">
        <v>802.25729783533143</v>
      </c>
      <c r="D15" s="113">
        <v>737.82607005603552</v>
      </c>
      <c r="E15" s="113">
        <v>100.74702806916606</v>
      </c>
      <c r="F15" s="113">
        <v>491.86905861245742</v>
      </c>
      <c r="G15" s="113">
        <v>2132.6653090197342</v>
      </c>
      <c r="H15" s="113">
        <v>2020.8786884804101</v>
      </c>
      <c r="I15" s="113">
        <v>843.47106187895815</v>
      </c>
      <c r="J15" s="113">
        <v>68.937313913295597</v>
      </c>
      <c r="K15" s="113">
        <v>912.40996821405645</v>
      </c>
      <c r="L15" s="113">
        <v>77.064894346164252</v>
      </c>
      <c r="M15" s="113">
        <v>1179.1343368876087</v>
      </c>
      <c r="N15" s="113">
        <f t="shared" si="0"/>
        <v>0.45149170675857769</v>
      </c>
      <c r="O15" s="106" t="s">
        <v>587</v>
      </c>
      <c r="P15" s="176">
        <v>8</v>
      </c>
      <c r="Q15" s="12" t="s">
        <v>587</v>
      </c>
      <c r="R15" s="241">
        <v>203864.40392469001</v>
      </c>
      <c r="S15" s="113">
        <v>256530.07498468601</v>
      </c>
      <c r="T15" s="113">
        <v>31816.80163888547</v>
      </c>
      <c r="U15" s="113">
        <v>164444.06282279632</v>
      </c>
      <c r="V15" s="113">
        <v>656655.34337105788</v>
      </c>
      <c r="W15" s="113">
        <v>614248.7383692899</v>
      </c>
      <c r="X15" s="113">
        <v>165916.64823492971</v>
      </c>
      <c r="Y15" s="113">
        <v>27289.246771451417</v>
      </c>
      <c r="Z15" s="113">
        <v>193205.85894148034</v>
      </c>
      <c r="AA15" s="113">
        <v>23938.8047238689</v>
      </c>
      <c r="AB15" s="113">
        <v>425154.91419595393</v>
      </c>
      <c r="AC15" s="113">
        <v>31.454009894168287</v>
      </c>
      <c r="AD15" s="862" t="s">
        <v>556</v>
      </c>
    </row>
    <row r="16" spans="1:30" ht="39.950000000000003" customHeight="1">
      <c r="A16" s="5">
        <v>9</v>
      </c>
      <c r="B16" s="12" t="s">
        <v>557</v>
      </c>
      <c r="C16" s="113">
        <v>826.36892023664404</v>
      </c>
      <c r="D16" s="113">
        <v>536.00829198691292</v>
      </c>
      <c r="E16" s="113">
        <v>556.74248417008505</v>
      </c>
      <c r="F16" s="113">
        <v>588.01184837026506</v>
      </c>
      <c r="G16" s="113">
        <v>2507.0744097677721</v>
      </c>
      <c r="H16" s="113">
        <v>2381.7381221781352</v>
      </c>
      <c r="I16" s="113">
        <v>732.53354633904087</v>
      </c>
      <c r="J16" s="113">
        <v>144.48842550653086</v>
      </c>
      <c r="K16" s="113">
        <v>876.93581091453086</v>
      </c>
      <c r="L16" s="113">
        <v>241.61885404154486</v>
      </c>
      <c r="M16" s="113">
        <v>1546.5608414956823</v>
      </c>
      <c r="N16" s="113">
        <f t="shared" si="0"/>
        <v>0.36819153321212322</v>
      </c>
      <c r="O16" s="106" t="s">
        <v>588</v>
      </c>
      <c r="P16" s="176">
        <v>9</v>
      </c>
      <c r="Q16" s="12" t="s">
        <v>588</v>
      </c>
      <c r="R16" s="241">
        <v>383550.03</v>
      </c>
      <c r="S16" s="113">
        <v>282199.30000000005</v>
      </c>
      <c r="T16" s="113">
        <v>29726.509999999991</v>
      </c>
      <c r="U16" s="113">
        <v>230050.22</v>
      </c>
      <c r="V16" s="113">
        <v>925526.05999999994</v>
      </c>
      <c r="W16" s="113">
        <v>879248.41</v>
      </c>
      <c r="X16" s="113">
        <v>261806.49054847192</v>
      </c>
      <c r="Y16" s="113">
        <v>25761.519183099997</v>
      </c>
      <c r="Z16" s="113">
        <v>287568.00973157195</v>
      </c>
      <c r="AA16" s="113">
        <v>40227.410000000011</v>
      </c>
      <c r="AB16" s="113">
        <v>613615.83000000007</v>
      </c>
      <c r="AC16" s="113">
        <v>32.706116549198185</v>
      </c>
      <c r="AD16" s="862" t="s">
        <v>557</v>
      </c>
    </row>
    <row r="17" spans="1:30" ht="39.950000000000003" customHeight="1">
      <c r="A17" s="5">
        <v>10</v>
      </c>
      <c r="B17" s="12" t="s">
        <v>558</v>
      </c>
      <c r="C17" s="113">
        <v>2688.5200115168841</v>
      </c>
      <c r="D17" s="113">
        <v>1483.4430929984051</v>
      </c>
      <c r="E17" s="113">
        <v>598.03885535576262</v>
      </c>
      <c r="F17" s="113">
        <v>811.83598108827766</v>
      </c>
      <c r="G17" s="113">
        <v>5581.9025113885955</v>
      </c>
      <c r="H17" s="113">
        <v>5252.3408697666555</v>
      </c>
      <c r="I17" s="113">
        <v>1265.1195722168393</v>
      </c>
      <c r="J17" s="113">
        <v>361.27572811325166</v>
      </c>
      <c r="K17" s="113">
        <v>1626.3802312129039</v>
      </c>
      <c r="L17" s="113">
        <v>313.20394407561957</v>
      </c>
      <c r="M17" s="113">
        <v>2807.167999915624</v>
      </c>
      <c r="N17" s="113">
        <f t="shared" si="0"/>
        <v>0.3096486445833358</v>
      </c>
      <c r="O17" s="106" t="s">
        <v>589</v>
      </c>
      <c r="P17" s="176">
        <v>10</v>
      </c>
      <c r="Q17" s="12" t="s">
        <v>589</v>
      </c>
      <c r="R17" s="241">
        <v>535103.23999999987</v>
      </c>
      <c r="S17" s="113">
        <v>354841.14999999997</v>
      </c>
      <c r="T17" s="113">
        <v>87286.8</v>
      </c>
      <c r="U17" s="113">
        <v>224827.93</v>
      </c>
      <c r="V17" s="113">
        <v>1202059.1200000001</v>
      </c>
      <c r="W17" s="113">
        <v>1127490.02</v>
      </c>
      <c r="X17" s="113">
        <v>223508.9231178</v>
      </c>
      <c r="Y17" s="113">
        <v>86704.328999199992</v>
      </c>
      <c r="Z17" s="113">
        <v>310213.252117</v>
      </c>
      <c r="AA17" s="113">
        <v>96364.7</v>
      </c>
      <c r="AB17" s="113">
        <v>814724.07000000007</v>
      </c>
      <c r="AC17" s="113">
        <v>27.513614011146636</v>
      </c>
      <c r="AD17" s="862" t="s">
        <v>558</v>
      </c>
    </row>
    <row r="18" spans="1:30" ht="39.950000000000003" customHeight="1">
      <c r="A18" s="5">
        <v>11</v>
      </c>
      <c r="B18" s="12" t="s">
        <v>559</v>
      </c>
      <c r="C18" s="113">
        <v>4050.6494500780354</v>
      </c>
      <c r="D18" s="113">
        <v>4849.3882902695159</v>
      </c>
      <c r="E18" s="113">
        <v>882.06573587698995</v>
      </c>
      <c r="F18" s="113">
        <v>1390.8196954460575</v>
      </c>
      <c r="G18" s="113">
        <v>11172.866409046541</v>
      </c>
      <c r="H18" s="113">
        <v>10215.551612329902</v>
      </c>
      <c r="I18" s="113">
        <v>7768.4945870992497</v>
      </c>
      <c r="J18" s="113">
        <v>1296.287164481525</v>
      </c>
      <c r="K18" s="113">
        <v>9064.765201048509</v>
      </c>
      <c r="L18" s="113">
        <v>1448.4075107729057</v>
      </c>
      <c r="M18" s="113">
        <v>2697.4326094112616</v>
      </c>
      <c r="N18" s="113">
        <f t="shared" si="0"/>
        <v>0.88734955732665244</v>
      </c>
      <c r="O18" s="106" t="s">
        <v>590</v>
      </c>
      <c r="P18" s="176">
        <v>11</v>
      </c>
      <c r="Q18" s="12" t="s">
        <v>590</v>
      </c>
      <c r="R18" s="241">
        <v>609394.65292067127</v>
      </c>
      <c r="S18" s="113">
        <v>481040.05001555901</v>
      </c>
      <c r="T18" s="113">
        <v>74214.110224929973</v>
      </c>
      <c r="U18" s="113">
        <v>325414.96590578457</v>
      </c>
      <c r="V18" s="113">
        <v>1490063.7790669452</v>
      </c>
      <c r="W18" s="113">
        <v>1373091.7265421825</v>
      </c>
      <c r="X18" s="113">
        <v>1022573.0126027793</v>
      </c>
      <c r="Y18" s="113">
        <v>91929.779477561955</v>
      </c>
      <c r="Z18" s="113">
        <v>1114502.6534058878</v>
      </c>
      <c r="AA18" s="113">
        <v>117336.76985035697</v>
      </c>
      <c r="AB18" s="113">
        <v>482123.46401834622</v>
      </c>
      <c r="AC18" s="113">
        <v>81.167385387464819</v>
      </c>
      <c r="AD18" s="862" t="s">
        <v>559</v>
      </c>
    </row>
    <row r="19" spans="1:30" ht="39.950000000000003" customHeight="1">
      <c r="A19" s="5">
        <v>12</v>
      </c>
      <c r="B19" s="12" t="s">
        <v>560</v>
      </c>
      <c r="C19" s="113">
        <v>2083.884414541551</v>
      </c>
      <c r="D19" s="113">
        <v>2715.2265705694813</v>
      </c>
      <c r="E19" s="113">
        <v>550.78439979618042</v>
      </c>
      <c r="F19" s="113">
        <v>864.0645779372295</v>
      </c>
      <c r="G19" s="113">
        <v>6213.9596137770186</v>
      </c>
      <c r="H19" s="113">
        <v>5592.5709419849918</v>
      </c>
      <c r="I19" s="113">
        <v>2695.4311888491316</v>
      </c>
      <c r="J19" s="113">
        <v>158.58768877156604</v>
      </c>
      <c r="K19" s="113">
        <v>2854.0187238949807</v>
      </c>
      <c r="L19" s="113">
        <v>187.69715084641291</v>
      </c>
      <c r="M19" s="113">
        <v>2919.6684982938518</v>
      </c>
      <c r="N19" s="113">
        <f t="shared" si="0"/>
        <v>0.5103232043905005</v>
      </c>
      <c r="O19" s="106" t="s">
        <v>591</v>
      </c>
      <c r="P19" s="176">
        <v>12</v>
      </c>
      <c r="Q19" s="12" t="s">
        <v>591</v>
      </c>
      <c r="R19" s="241">
        <v>357948.09000000014</v>
      </c>
      <c r="S19" s="113">
        <v>388936.34999999992</v>
      </c>
      <c r="T19" s="113">
        <v>65420.419999999991</v>
      </c>
      <c r="U19" s="113">
        <v>87434.61</v>
      </c>
      <c r="V19" s="113">
        <v>899739.47</v>
      </c>
      <c r="W19" s="113">
        <v>812118.02000000014</v>
      </c>
      <c r="X19" s="113">
        <v>421649.89868800063</v>
      </c>
      <c r="Y19" s="113">
        <v>63250.083737125009</v>
      </c>
      <c r="Z19" s="113">
        <v>484899.79000000004</v>
      </c>
      <c r="AA19" s="113">
        <v>71166.31</v>
      </c>
      <c r="AB19" s="113">
        <v>390997.16000000009</v>
      </c>
      <c r="AC19" s="113">
        <v>59.708044650948636</v>
      </c>
      <c r="AD19" s="862" t="s">
        <v>560</v>
      </c>
    </row>
    <row r="20" spans="1:30" ht="39.950000000000003" customHeight="1">
      <c r="A20" s="5">
        <v>13</v>
      </c>
      <c r="B20" s="12" t="s">
        <v>561</v>
      </c>
      <c r="C20" s="113">
        <v>100133.79967354656</v>
      </c>
      <c r="D20" s="113">
        <v>20275.596290947185</v>
      </c>
      <c r="E20" s="113">
        <v>9845.3238611368561</v>
      </c>
      <c r="F20" s="113">
        <v>34390.567590227329</v>
      </c>
      <c r="G20" s="113">
        <v>164506.75085962116</v>
      </c>
      <c r="H20" s="113">
        <v>152661.67472326019</v>
      </c>
      <c r="I20" s="113">
        <v>87870.810867016946</v>
      </c>
      <c r="J20" s="113">
        <v>11661.642924888123</v>
      </c>
      <c r="K20" s="113">
        <v>99491.030997609894</v>
      </c>
      <c r="L20" s="113">
        <v>9032.2715276739746</v>
      </c>
      <c r="M20" s="113">
        <v>31569.429761626467</v>
      </c>
      <c r="N20" s="113">
        <f t="shared" si="0"/>
        <v>0.65170928576516529</v>
      </c>
      <c r="O20" s="106" t="s">
        <v>593</v>
      </c>
      <c r="P20" s="176">
        <v>13</v>
      </c>
      <c r="Q20" s="12" t="s">
        <v>593</v>
      </c>
      <c r="R20" s="241"/>
      <c r="S20" s="113"/>
      <c r="T20" s="113"/>
      <c r="U20" s="113"/>
      <c r="V20" s="113"/>
      <c r="W20" s="113"/>
      <c r="X20" s="113"/>
      <c r="Y20" s="113"/>
      <c r="Z20" s="113"/>
      <c r="AA20" s="113"/>
      <c r="AB20" s="113"/>
      <c r="AC20" s="113"/>
      <c r="AD20" s="862" t="s">
        <v>561</v>
      </c>
    </row>
    <row r="21" spans="1:30" ht="39.950000000000003" customHeight="1">
      <c r="A21" s="5">
        <v>14</v>
      </c>
      <c r="B21" s="12" t="s">
        <v>562</v>
      </c>
      <c r="C21" s="113">
        <v>22368.873609233859</v>
      </c>
      <c r="D21" s="113">
        <v>2957.9964268047042</v>
      </c>
      <c r="E21" s="113">
        <v>1880.04581890542</v>
      </c>
      <c r="F21" s="113">
        <v>6431.1351730607103</v>
      </c>
      <c r="G21" s="113">
        <v>33638.022405484946</v>
      </c>
      <c r="H21" s="113">
        <v>31434.968480549542</v>
      </c>
      <c r="I21" s="113">
        <v>13201.081168996254</v>
      </c>
      <c r="J21" s="113">
        <v>1466.4141035758635</v>
      </c>
      <c r="K21" s="113">
        <v>14667.537821613229</v>
      </c>
      <c r="L21" s="113">
        <v>2110.9101764573111</v>
      </c>
      <c r="M21" s="113">
        <v>15342.506052900331</v>
      </c>
      <c r="N21" s="113">
        <f t="shared" si="0"/>
        <v>0.46659941239288344</v>
      </c>
      <c r="O21" s="106" t="s">
        <v>592</v>
      </c>
      <c r="P21" s="183">
        <v>14</v>
      </c>
      <c r="Q21" s="12" t="s">
        <v>592</v>
      </c>
      <c r="R21" s="242">
        <v>3462172.7330090264</v>
      </c>
      <c r="S21" s="184">
        <v>736056.95049557427</v>
      </c>
      <c r="T21" s="184">
        <v>210280.21537353285</v>
      </c>
      <c r="U21" s="184">
        <v>1262513.2175922173</v>
      </c>
      <c r="V21" s="184">
        <v>5671023.11647035</v>
      </c>
      <c r="W21" s="184">
        <v>5285893.023377968</v>
      </c>
      <c r="X21" s="184">
        <v>2198361.0916034319</v>
      </c>
      <c r="Y21" s="184">
        <v>267302.30940968549</v>
      </c>
      <c r="Z21" s="184">
        <v>2465663.9071881841</v>
      </c>
      <c r="AA21" s="184">
        <v>267466.02765821188</v>
      </c>
      <c r="AB21" s="184">
        <v>2883742.76801342</v>
      </c>
      <c r="AC21" s="184">
        <v>46.646118192011635</v>
      </c>
      <c r="AD21" s="1473" t="s">
        <v>562</v>
      </c>
    </row>
    <row r="22" spans="1:30" ht="39.950000000000003" customHeight="1" thickBot="1">
      <c r="A22" s="5">
        <v>15</v>
      </c>
      <c r="B22" s="12" t="s">
        <v>563</v>
      </c>
      <c r="C22" s="113">
        <v>10275.753972490465</v>
      </c>
      <c r="D22" s="113">
        <v>13999.971311437732</v>
      </c>
      <c r="E22" s="113">
        <v>2970.1354387550223</v>
      </c>
      <c r="F22" s="113">
        <v>7875.0124093842278</v>
      </c>
      <c r="G22" s="113">
        <v>35120.857363593343</v>
      </c>
      <c r="H22" s="113">
        <v>31787.523161159974</v>
      </c>
      <c r="I22" s="113">
        <v>44035.532039106758</v>
      </c>
      <c r="J22" s="113">
        <v>2861.8902672953154</v>
      </c>
      <c r="K22" s="113">
        <v>46897.412791198411</v>
      </c>
      <c r="L22" s="113">
        <v>1865.6002518753041</v>
      </c>
      <c r="M22" s="113">
        <v>2852.167890051941</v>
      </c>
      <c r="N22" s="113">
        <f t="shared" si="0"/>
        <v>1.4753402633301316</v>
      </c>
      <c r="O22" s="106" t="s">
        <v>594</v>
      </c>
      <c r="P22" s="187">
        <v>15</v>
      </c>
      <c r="Q22" s="1671" t="s">
        <v>594</v>
      </c>
      <c r="R22" s="243"/>
      <c r="S22" s="188"/>
      <c r="T22" s="188"/>
      <c r="U22" s="188"/>
      <c r="V22" s="188"/>
      <c r="W22" s="188"/>
      <c r="X22" s="188"/>
      <c r="Y22" s="188"/>
      <c r="Z22" s="188"/>
      <c r="AA22" s="188"/>
      <c r="AB22" s="188"/>
      <c r="AC22" s="188"/>
      <c r="AD22" s="1474" t="s">
        <v>563</v>
      </c>
    </row>
    <row r="23" spans="1:30" ht="39.950000000000003" customHeight="1" thickTop="1">
      <c r="A23" s="5">
        <v>16</v>
      </c>
      <c r="B23" s="12" t="s">
        <v>564</v>
      </c>
      <c r="C23" s="113">
        <v>11591.586669018869</v>
      </c>
      <c r="D23" s="113">
        <v>4763.5131937521501</v>
      </c>
      <c r="E23" s="113">
        <v>2808.1348634088099</v>
      </c>
      <c r="F23" s="113">
        <v>6702.6863895008692</v>
      </c>
      <c r="G23" s="113">
        <v>25865.932425109797</v>
      </c>
      <c r="H23" s="113">
        <v>23965.319633159008</v>
      </c>
      <c r="I23" s="113">
        <v>13932.60765653308</v>
      </c>
      <c r="J23" s="113">
        <v>1525.557827493599</v>
      </c>
      <c r="K23" s="113">
        <v>15458.175821987232</v>
      </c>
      <c r="L23" s="113">
        <v>2021.627273470835</v>
      </c>
      <c r="M23" s="113">
        <v>9624.7225417488808</v>
      </c>
      <c r="N23" s="113">
        <f t="shared" si="0"/>
        <v>0.64502272694910845</v>
      </c>
      <c r="O23" s="106" t="s">
        <v>595</v>
      </c>
      <c r="P23" s="185">
        <v>16</v>
      </c>
      <c r="Q23" s="1670" t="s">
        <v>595</v>
      </c>
      <c r="R23" s="244">
        <v>2099852.2297119885</v>
      </c>
      <c r="S23" s="186">
        <v>1063534.3090686267</v>
      </c>
      <c r="T23" s="186">
        <v>325130.63208207401</v>
      </c>
      <c r="U23" s="186">
        <v>1179205.8604501523</v>
      </c>
      <c r="V23" s="186">
        <v>4667723.0313128419</v>
      </c>
      <c r="W23" s="186">
        <v>4312260.0565125244</v>
      </c>
      <c r="X23" s="186">
        <v>2067156.7299987404</v>
      </c>
      <c r="Y23" s="186">
        <v>224122.35268747181</v>
      </c>
      <c r="Z23" s="186">
        <v>2291279.2087243926</v>
      </c>
      <c r="AA23" s="186">
        <v>233447.72639798018</v>
      </c>
      <c r="AB23" s="186">
        <v>2153719.7132220049</v>
      </c>
      <c r="AC23" s="186">
        <v>53.134068416491331</v>
      </c>
      <c r="AD23" s="1475" t="s">
        <v>564</v>
      </c>
    </row>
    <row r="24" spans="1:30" ht="39.950000000000003" customHeight="1">
      <c r="A24" s="5">
        <v>17</v>
      </c>
      <c r="B24" s="12" t="s">
        <v>565</v>
      </c>
      <c r="C24" s="113">
        <v>9248.7726126250764</v>
      </c>
      <c r="D24" s="113">
        <v>2312.0705360001284</v>
      </c>
      <c r="E24" s="113">
        <v>825.39815561302066</v>
      </c>
      <c r="F24" s="113">
        <v>2507.1646609761551</v>
      </c>
      <c r="G24" s="113">
        <v>14893.405976513019</v>
      </c>
      <c r="H24" s="113">
        <v>13725.988929187302</v>
      </c>
      <c r="I24" s="113">
        <v>5534.5561304352705</v>
      </c>
      <c r="J24" s="113">
        <v>1171.1757648887522</v>
      </c>
      <c r="K24" s="113">
        <v>6705.731793041793</v>
      </c>
      <c r="L24" s="113">
        <v>493.41374459058579</v>
      </c>
      <c r="M24" s="113">
        <v>3081.3805314030483</v>
      </c>
      <c r="N24" s="113">
        <f t="shared" si="0"/>
        <v>0.48854270738792083</v>
      </c>
      <c r="O24" s="106" t="s">
        <v>596</v>
      </c>
      <c r="P24" s="176">
        <v>17</v>
      </c>
      <c r="Q24" s="12" t="s">
        <v>596</v>
      </c>
      <c r="R24" s="241">
        <v>1720414.5327012828</v>
      </c>
      <c r="S24" s="113">
        <v>332703.9729040782</v>
      </c>
      <c r="T24" s="113">
        <v>178439.24999999997</v>
      </c>
      <c r="U24" s="113">
        <v>377760.97317372885</v>
      </c>
      <c r="V24" s="113">
        <v>2609318.7287790906</v>
      </c>
      <c r="W24" s="113">
        <v>2398895.7236264367</v>
      </c>
      <c r="X24" s="113">
        <v>858440.88381770102</v>
      </c>
      <c r="Y24" s="113">
        <v>198035.32209163942</v>
      </c>
      <c r="Z24" s="113">
        <v>1056476.2991045411</v>
      </c>
      <c r="AA24" s="113">
        <v>208098.52838527894</v>
      </c>
      <c r="AB24" s="113">
        <v>1339184.0992438958</v>
      </c>
      <c r="AC24" s="113">
        <v>44.040109317776199</v>
      </c>
      <c r="AD24" s="862" t="s">
        <v>565</v>
      </c>
    </row>
    <row r="25" spans="1:30" ht="39.950000000000003" customHeight="1">
      <c r="A25" s="5">
        <v>18</v>
      </c>
      <c r="B25" s="12" t="s">
        <v>566</v>
      </c>
      <c r="C25" s="113">
        <v>2417.074352556368</v>
      </c>
      <c r="D25" s="113">
        <v>535.30720457977327</v>
      </c>
      <c r="E25" s="113">
        <v>0</v>
      </c>
      <c r="F25" s="113">
        <v>922.4021064807846</v>
      </c>
      <c r="G25" s="113">
        <v>3874.7835443369549</v>
      </c>
      <c r="H25" s="113">
        <v>3642.3739881906577</v>
      </c>
      <c r="I25" s="113">
        <v>1998.9841447975957</v>
      </c>
      <c r="J25" s="113">
        <v>224.7403362546838</v>
      </c>
      <c r="K25" s="113">
        <v>2223.7243958213203</v>
      </c>
      <c r="L25" s="113">
        <v>257.87485639507702</v>
      </c>
      <c r="M25" s="113">
        <v>1437.0256900380334</v>
      </c>
      <c r="N25" s="113">
        <f t="shared" si="0"/>
        <v>0.61051512091594717</v>
      </c>
      <c r="O25" s="106" t="s">
        <v>597</v>
      </c>
      <c r="P25" s="176">
        <v>18</v>
      </c>
      <c r="Q25" s="12" t="s">
        <v>597</v>
      </c>
      <c r="R25" s="241">
        <v>784242.50000000012</v>
      </c>
      <c r="S25" s="113">
        <v>157498.76000000004</v>
      </c>
      <c r="T25" s="113">
        <v>2205.1000000000004</v>
      </c>
      <c r="U25" s="113">
        <v>300340.79000000004</v>
      </c>
      <c r="V25" s="113">
        <v>1244287.1500000004</v>
      </c>
      <c r="W25" s="113">
        <v>1141482.32</v>
      </c>
      <c r="X25" s="113">
        <v>672429.25667727273</v>
      </c>
      <c r="Y25" s="113">
        <v>53248.648679169455</v>
      </c>
      <c r="Z25" s="113">
        <v>725677.9800000001</v>
      </c>
      <c r="AA25" s="113">
        <v>57236.729999999996</v>
      </c>
      <c r="AB25" s="113">
        <v>500866.26999999996</v>
      </c>
      <c r="AC25" s="113">
        <v>63.573300022728354</v>
      </c>
      <c r="AD25" s="862" t="s">
        <v>566</v>
      </c>
    </row>
    <row r="26" spans="1:30" ht="39.950000000000003" customHeight="1">
      <c r="A26" s="5">
        <v>19</v>
      </c>
      <c r="B26" s="12" t="s">
        <v>567</v>
      </c>
      <c r="C26" s="113">
        <v>204.80095196282002</v>
      </c>
      <c r="D26" s="113">
        <v>10.246181285273687</v>
      </c>
      <c r="E26" s="113">
        <v>75.294356056860124</v>
      </c>
      <c r="F26" s="113">
        <v>41.267921769277791</v>
      </c>
      <c r="G26" s="113">
        <v>331.60928001301579</v>
      </c>
      <c r="H26" s="113">
        <v>279.12179531313086</v>
      </c>
      <c r="I26" s="113">
        <v>4.2040290982265391</v>
      </c>
      <c r="J26" s="113">
        <v>11.520095634876938</v>
      </c>
      <c r="K26" s="113">
        <v>15.724124733103508</v>
      </c>
      <c r="L26" s="113">
        <v>15.771754145766309</v>
      </c>
      <c r="M26" s="113">
        <v>263.15647064112238</v>
      </c>
      <c r="N26" s="113">
        <f t="shared" si="0"/>
        <v>5.6334277713653666E-2</v>
      </c>
      <c r="O26" s="106" t="s">
        <v>598</v>
      </c>
      <c r="P26" s="176">
        <v>19</v>
      </c>
      <c r="Q26" s="12" t="s">
        <v>598</v>
      </c>
      <c r="R26" s="241"/>
      <c r="S26" s="113"/>
      <c r="T26" s="113"/>
      <c r="U26" s="113"/>
      <c r="V26" s="113"/>
      <c r="W26" s="113"/>
      <c r="X26" s="113"/>
      <c r="Y26" s="113"/>
      <c r="Z26" s="113"/>
      <c r="AA26" s="113"/>
      <c r="AB26" s="113"/>
      <c r="AC26" s="113"/>
      <c r="AD26" s="862" t="s">
        <v>567</v>
      </c>
    </row>
    <row r="27" spans="1:30" ht="39.950000000000003" customHeight="1">
      <c r="A27" s="5">
        <v>20</v>
      </c>
      <c r="B27" s="12" t="s">
        <v>568</v>
      </c>
      <c r="C27" s="113">
        <v>675.57546188236267</v>
      </c>
      <c r="D27" s="113">
        <v>9.5853402325842989</v>
      </c>
      <c r="E27" s="113">
        <v>317.3682295596422</v>
      </c>
      <c r="F27" s="113">
        <v>19.218895301198501</v>
      </c>
      <c r="G27" s="113">
        <v>1021.748260781648</v>
      </c>
      <c r="H27" s="113">
        <v>919.57326314486215</v>
      </c>
      <c r="I27" s="113">
        <v>3.2595588745676607</v>
      </c>
      <c r="J27" s="113">
        <v>5.943860739244208</v>
      </c>
      <c r="K27" s="113">
        <v>9.2034196138118674</v>
      </c>
      <c r="L27" s="113">
        <v>44.775043791014852</v>
      </c>
      <c r="M27" s="113">
        <v>831.91360207441346</v>
      </c>
      <c r="N27" s="113">
        <f t="shared" si="0"/>
        <v>1.0008359293023546E-2</v>
      </c>
      <c r="O27" s="106" t="s">
        <v>599</v>
      </c>
      <c r="P27" s="176">
        <v>20</v>
      </c>
      <c r="Q27" s="12" t="s">
        <v>599</v>
      </c>
      <c r="R27" s="241"/>
      <c r="S27" s="113"/>
      <c r="T27" s="113"/>
      <c r="U27" s="113"/>
      <c r="V27" s="113"/>
      <c r="W27" s="113"/>
      <c r="X27" s="113"/>
      <c r="Y27" s="113"/>
      <c r="Z27" s="113"/>
      <c r="AA27" s="113"/>
      <c r="AB27" s="113"/>
      <c r="AC27" s="113"/>
      <c r="AD27" s="862" t="s">
        <v>568</v>
      </c>
    </row>
    <row r="28" spans="1:30" ht="39.950000000000003" customHeight="1">
      <c r="A28" s="5">
        <v>21</v>
      </c>
      <c r="B28" s="12" t="s">
        <v>569</v>
      </c>
      <c r="C28" s="113">
        <v>8688.0452364823486</v>
      </c>
      <c r="D28" s="113">
        <v>621.70060446546267</v>
      </c>
      <c r="E28" s="113">
        <v>217.42129460049844</v>
      </c>
      <c r="F28" s="113">
        <v>3143.3536688624827</v>
      </c>
      <c r="G28" s="113">
        <v>12670.520866752509</v>
      </c>
      <c r="H28" s="113">
        <v>11982.78368683718</v>
      </c>
      <c r="I28" s="113">
        <v>4527.7302747350705</v>
      </c>
      <c r="J28" s="113">
        <v>416.01431747951568</v>
      </c>
      <c r="K28" s="113">
        <v>4943.7486303682108</v>
      </c>
      <c r="L28" s="113">
        <v>489.63995895882056</v>
      </c>
      <c r="M28" s="113">
        <v>6938.2637281510779</v>
      </c>
      <c r="N28" s="113">
        <f t="shared" si="0"/>
        <v>0.41257096510878422</v>
      </c>
      <c r="O28" s="106" t="s">
        <v>600</v>
      </c>
      <c r="P28" s="176">
        <v>21</v>
      </c>
      <c r="Q28" s="12" t="s">
        <v>600</v>
      </c>
      <c r="R28" s="241">
        <v>2096344.0263063065</v>
      </c>
      <c r="S28" s="113">
        <v>181811.32603603601</v>
      </c>
      <c r="T28" s="113">
        <v>25313.360000000001</v>
      </c>
      <c r="U28" s="113">
        <v>562628.52981981984</v>
      </c>
      <c r="V28" s="113">
        <v>2866097.2421621629</v>
      </c>
      <c r="W28" s="113">
        <v>2650169.7262162161</v>
      </c>
      <c r="X28" s="113">
        <v>1154357.0064833302</v>
      </c>
      <c r="Y28" s="113">
        <v>124448.30391594119</v>
      </c>
      <c r="Z28" s="113">
        <v>1278805.1816216218</v>
      </c>
      <c r="AA28" s="113">
        <v>142111.27837837834</v>
      </c>
      <c r="AB28" s="113">
        <v>1397555.6245945944</v>
      </c>
      <c r="AC28" s="113">
        <v>48.253708770850608</v>
      </c>
      <c r="AD28" s="862" t="s">
        <v>569</v>
      </c>
    </row>
    <row r="29" spans="1:30" ht="39.950000000000003" customHeight="1">
      <c r="A29" s="5">
        <v>22</v>
      </c>
      <c r="B29" s="12" t="s">
        <v>570</v>
      </c>
      <c r="C29" s="113">
        <v>2928.9014207548757</v>
      </c>
      <c r="D29" s="113">
        <v>1171.5834881559492</v>
      </c>
      <c r="E29" s="113">
        <v>165.87307866416714</v>
      </c>
      <c r="F29" s="113">
        <v>1239.6065087948568</v>
      </c>
      <c r="G29" s="113">
        <v>5505.8294301606238</v>
      </c>
      <c r="H29" s="113">
        <v>5215.5191521125489</v>
      </c>
      <c r="I29" s="113">
        <v>3363.8576714882474</v>
      </c>
      <c r="J29" s="113">
        <v>315.82885393063481</v>
      </c>
      <c r="K29" s="113">
        <v>3679.6934267681381</v>
      </c>
      <c r="L29" s="113">
        <v>437.97681342002375</v>
      </c>
      <c r="M29" s="113">
        <v>2238.9458136452085</v>
      </c>
      <c r="N29" s="113">
        <f t="shared" si="0"/>
        <v>0.70552773740226349</v>
      </c>
      <c r="O29" s="106" t="s">
        <v>601</v>
      </c>
      <c r="P29" s="176">
        <v>22</v>
      </c>
      <c r="Q29" s="12" t="s">
        <v>601</v>
      </c>
      <c r="R29" s="241">
        <v>567057.35785370832</v>
      </c>
      <c r="S29" s="113">
        <v>311791.51545428543</v>
      </c>
      <c r="T29" s="113">
        <v>67626.573002436664</v>
      </c>
      <c r="U29" s="113">
        <v>315096.05075477122</v>
      </c>
      <c r="V29" s="113">
        <v>1261571.4970652019</v>
      </c>
      <c r="W29" s="113">
        <v>1189264.1428542649</v>
      </c>
      <c r="X29" s="113">
        <v>616134.98636668338</v>
      </c>
      <c r="Y29" s="113">
        <v>55541.964299322171</v>
      </c>
      <c r="Z29" s="113">
        <v>671676.9289741572</v>
      </c>
      <c r="AA29" s="113">
        <v>73710.818674551425</v>
      </c>
      <c r="AB29" s="113">
        <v>645361.14402354741</v>
      </c>
      <c r="AC29" s="113">
        <v>56.478363785703237</v>
      </c>
      <c r="AD29" s="862" t="s">
        <v>570</v>
      </c>
    </row>
    <row r="30" spans="1:30" ht="39.950000000000003" customHeight="1">
      <c r="A30" s="5">
        <v>23</v>
      </c>
      <c r="B30" s="12" t="s">
        <v>571</v>
      </c>
      <c r="C30" s="113">
        <v>3360.2170509639609</v>
      </c>
      <c r="D30" s="113">
        <v>806.35116876699578</v>
      </c>
      <c r="E30" s="113">
        <v>0</v>
      </c>
      <c r="F30" s="113">
        <v>692.05415427696687</v>
      </c>
      <c r="G30" s="113">
        <v>4858.3995124550256</v>
      </c>
      <c r="H30" s="113">
        <v>4610.4741866217573</v>
      </c>
      <c r="I30" s="113">
        <v>3285.5254161837534</v>
      </c>
      <c r="J30" s="113">
        <v>183.5564810169254</v>
      </c>
      <c r="K30" s="113">
        <v>3469.0818913737025</v>
      </c>
      <c r="L30" s="113">
        <v>196.9255126801003</v>
      </c>
      <c r="M30" s="113">
        <v>1279.0422957229764</v>
      </c>
      <c r="N30" s="113">
        <f t="shared" si="0"/>
        <v>0.75243494507353703</v>
      </c>
      <c r="O30" s="106" t="s">
        <v>602</v>
      </c>
      <c r="P30" s="176">
        <v>23</v>
      </c>
      <c r="Q30" s="12" t="s">
        <v>602</v>
      </c>
      <c r="R30" s="241">
        <v>840578.54</v>
      </c>
      <c r="S30" s="113">
        <v>161974.71</v>
      </c>
      <c r="T30" s="113">
        <v>313.29000000000002</v>
      </c>
      <c r="U30" s="113">
        <v>220283.93</v>
      </c>
      <c r="V30" s="113">
        <v>1223150.47</v>
      </c>
      <c r="W30" s="113">
        <v>1132181.5599999998</v>
      </c>
      <c r="X30" s="113">
        <v>745920.32575000008</v>
      </c>
      <c r="Y30" s="113">
        <v>39881.942193003088</v>
      </c>
      <c r="Z30" s="113">
        <v>785802.4</v>
      </c>
      <c r="AA30" s="113">
        <v>42068.72</v>
      </c>
      <c r="AB30" s="113">
        <v>443989.87</v>
      </c>
      <c r="AC30" s="113">
        <v>69.406041200671041</v>
      </c>
      <c r="AD30" s="862" t="s">
        <v>571</v>
      </c>
    </row>
    <row r="31" spans="1:30" ht="39.950000000000003" customHeight="1">
      <c r="A31" s="5">
        <v>24</v>
      </c>
      <c r="B31" s="12" t="s">
        <v>572</v>
      </c>
      <c r="C31" s="113">
        <v>2482.0310026478696</v>
      </c>
      <c r="D31" s="113">
        <v>313.99929838708601</v>
      </c>
      <c r="E31" s="113">
        <v>500.03463109845302</v>
      </c>
      <c r="F31" s="113">
        <v>501.60780374971176</v>
      </c>
      <c r="G31" s="113">
        <v>3797.6728924897766</v>
      </c>
      <c r="H31" s="113">
        <v>3493.9221238797841</v>
      </c>
      <c r="I31" s="113">
        <v>1129.5029111482074</v>
      </c>
      <c r="J31" s="113">
        <v>231.79369108369232</v>
      </c>
      <c r="K31" s="113">
        <v>1361.2965376541645</v>
      </c>
      <c r="L31" s="113">
        <v>79.284584237501775</v>
      </c>
      <c r="M31" s="113">
        <v>583.43822829703845</v>
      </c>
      <c r="N31" s="113">
        <f t="shared" si="0"/>
        <v>0.38961845438687942</v>
      </c>
      <c r="O31" s="106" t="s">
        <v>603</v>
      </c>
      <c r="P31" s="176">
        <v>24</v>
      </c>
      <c r="Q31" s="12" t="s">
        <v>603</v>
      </c>
      <c r="R31" s="241">
        <v>645640.81800000009</v>
      </c>
      <c r="S31" s="113">
        <v>80070.390258376661</v>
      </c>
      <c r="T31" s="113">
        <v>151531.49</v>
      </c>
      <c r="U31" s="113">
        <v>115831.68540000002</v>
      </c>
      <c r="V31" s="113">
        <v>993074.38365837664</v>
      </c>
      <c r="W31" s="113">
        <v>906315.87365837686</v>
      </c>
      <c r="X31" s="113">
        <v>264860.93</v>
      </c>
      <c r="Y31" s="113">
        <v>59089.434707122302</v>
      </c>
      <c r="Z31" s="113">
        <v>323950.32470712229</v>
      </c>
      <c r="AA31" s="113">
        <v>59261.560000000012</v>
      </c>
      <c r="AB31" s="113">
        <v>574851.02365837677</v>
      </c>
      <c r="AC31" s="113">
        <v>35.743644586018895</v>
      </c>
      <c r="AD31" s="862" t="s">
        <v>572</v>
      </c>
    </row>
    <row r="32" spans="1:30" ht="39.950000000000003" customHeight="1">
      <c r="A32" s="5">
        <v>25</v>
      </c>
      <c r="B32" s="12" t="s">
        <v>573</v>
      </c>
      <c r="C32" s="113">
        <v>4690.9036241360536</v>
      </c>
      <c r="D32" s="113">
        <v>495.62948692958628</v>
      </c>
      <c r="E32" s="113">
        <v>72.440940256493363</v>
      </c>
      <c r="F32" s="113">
        <v>1700.7714134009764</v>
      </c>
      <c r="G32" s="113">
        <v>6959.7452167433848</v>
      </c>
      <c r="H32" s="113">
        <v>6570.0914598258059</v>
      </c>
      <c r="I32" s="113">
        <v>3736.8976706908202</v>
      </c>
      <c r="J32" s="113">
        <v>231.96763199993904</v>
      </c>
      <c r="K32" s="113">
        <v>3968.8648389677519</v>
      </c>
      <c r="L32" s="113">
        <v>487.44490578638766</v>
      </c>
      <c r="M32" s="113">
        <v>2382.2342030479981</v>
      </c>
      <c r="N32" s="113">
        <f t="shared" si="0"/>
        <v>0.60408060728472401</v>
      </c>
      <c r="O32" s="106" t="s">
        <v>604</v>
      </c>
      <c r="P32" s="176">
        <v>25</v>
      </c>
      <c r="Q32" s="12" t="s">
        <v>604</v>
      </c>
      <c r="R32" s="241">
        <v>1192554.2439339394</v>
      </c>
      <c r="S32" s="113">
        <v>105048.6610565048</v>
      </c>
      <c r="T32" s="113">
        <v>3128.9134453921656</v>
      </c>
      <c r="U32" s="113">
        <v>449446.37058982404</v>
      </c>
      <c r="V32" s="113">
        <v>1750178.1890256598</v>
      </c>
      <c r="W32" s="113">
        <v>1631258.9855309711</v>
      </c>
      <c r="X32" s="113">
        <v>837433.90953572607</v>
      </c>
      <c r="Y32" s="113">
        <v>53122.794439423007</v>
      </c>
      <c r="Z32" s="113">
        <v>890556.98958112975</v>
      </c>
      <c r="AA32" s="113">
        <v>59413.938755887917</v>
      </c>
      <c r="AB32" s="113">
        <v>771900.33590908628</v>
      </c>
      <c r="AC32" s="113">
        <v>54.593231208547522</v>
      </c>
      <c r="AD32" s="862" t="s">
        <v>573</v>
      </c>
    </row>
    <row r="33" spans="1:30" ht="45" customHeight="1">
      <c r="A33" s="5">
        <v>26</v>
      </c>
      <c r="B33" s="12" t="s">
        <v>574</v>
      </c>
      <c r="C33" s="113">
        <v>10592.33883648787</v>
      </c>
      <c r="D33" s="113">
        <v>1519.0297775265892</v>
      </c>
      <c r="E33" s="113">
        <v>13.203886089097294</v>
      </c>
      <c r="F33" s="113">
        <v>1294.9522635129551</v>
      </c>
      <c r="G33" s="113">
        <v>13418.320611584826</v>
      </c>
      <c r="H33" s="113">
        <v>12649.863316921619</v>
      </c>
      <c r="I33" s="113">
        <v>10859.686168950117</v>
      </c>
      <c r="J33" s="113">
        <v>557.31932128278424</v>
      </c>
      <c r="K33" s="113">
        <v>11414.062680046696</v>
      </c>
      <c r="L33" s="113">
        <v>750.11820371087219</v>
      </c>
      <c r="M33" s="113">
        <v>2931.0133270212386</v>
      </c>
      <c r="N33" s="113">
        <f t="shared" si="0"/>
        <v>0.90230719447997498</v>
      </c>
      <c r="O33" s="106" t="s">
        <v>605</v>
      </c>
      <c r="P33" s="176">
        <v>26</v>
      </c>
      <c r="Q33" s="12" t="s">
        <v>605</v>
      </c>
      <c r="R33" s="241">
        <v>1566748.6199999999</v>
      </c>
      <c r="S33" s="113">
        <v>178335.35000000003</v>
      </c>
      <c r="T33" s="113">
        <v>9961.0500000000011</v>
      </c>
      <c r="U33" s="113">
        <v>292720.63999999996</v>
      </c>
      <c r="V33" s="113">
        <v>2047765.6600000001</v>
      </c>
      <c r="W33" s="113">
        <v>1903107.8699999994</v>
      </c>
      <c r="X33" s="113">
        <v>1479991.9688543763</v>
      </c>
      <c r="Y33" s="113">
        <v>108636.97350399847</v>
      </c>
      <c r="Z33" s="113">
        <v>1588629.1700000002</v>
      </c>
      <c r="AA33" s="113">
        <v>115789.48999999998</v>
      </c>
      <c r="AB33" s="113">
        <v>670998.50000000012</v>
      </c>
      <c r="AC33" s="113">
        <v>83.475518915278329</v>
      </c>
      <c r="AD33" s="862" t="s">
        <v>574</v>
      </c>
    </row>
    <row r="34" spans="1:30" ht="39.950000000000003" customHeight="1">
      <c r="A34" s="5">
        <v>27</v>
      </c>
      <c r="B34" s="12" t="s">
        <v>575</v>
      </c>
      <c r="C34" s="113">
        <v>8656.8987268741857</v>
      </c>
      <c r="D34" s="113">
        <v>897.91041698321624</v>
      </c>
      <c r="E34" s="113">
        <v>1016.2657525587358</v>
      </c>
      <c r="F34" s="113">
        <v>1949.2795671492213</v>
      </c>
      <c r="G34" s="113">
        <v>12520.325627357426</v>
      </c>
      <c r="H34" s="113">
        <v>10778.258230737971</v>
      </c>
      <c r="I34" s="113">
        <v>3041.773272437862</v>
      </c>
      <c r="J34" s="113">
        <v>1778.4173819674286</v>
      </c>
      <c r="K34" s="113">
        <v>4816.536827604923</v>
      </c>
      <c r="L34" s="113">
        <v>497.93732695277617</v>
      </c>
      <c r="M34" s="113">
        <v>4432.8164432938092</v>
      </c>
      <c r="N34" s="113">
        <f t="shared" si="0"/>
        <v>0.44687524871772738</v>
      </c>
      <c r="O34" s="106" t="s">
        <v>606</v>
      </c>
      <c r="P34" s="176">
        <v>27</v>
      </c>
      <c r="Q34" s="12" t="s">
        <v>606</v>
      </c>
      <c r="R34" s="241">
        <v>1934103.298637775</v>
      </c>
      <c r="S34" s="113">
        <v>441729.90780516854</v>
      </c>
      <c r="T34" s="113">
        <v>157655.78275176455</v>
      </c>
      <c r="U34" s="113">
        <v>660846.80139735632</v>
      </c>
      <c r="V34" s="113">
        <v>3194335.7705920641</v>
      </c>
      <c r="W34" s="113">
        <v>2934516.9466483425</v>
      </c>
      <c r="X34" s="113">
        <v>1239746.3561694918</v>
      </c>
      <c r="Y34" s="113">
        <v>264081.18501455057</v>
      </c>
      <c r="Z34" s="113">
        <v>1503827.5732774469</v>
      </c>
      <c r="AA34" s="113">
        <v>344788.34196240938</v>
      </c>
      <c r="AB34" s="113">
        <v>1459332.2933990695</v>
      </c>
      <c r="AC34" s="113">
        <v>51.246171026377716</v>
      </c>
      <c r="AD34" s="862" t="s">
        <v>575</v>
      </c>
    </row>
    <row r="35" spans="1:30" ht="45" customHeight="1">
      <c r="A35" s="2522" t="s">
        <v>50</v>
      </c>
      <c r="B35" s="2523"/>
      <c r="C35" s="114">
        <v>251905.13027288983</v>
      </c>
      <c r="D35" s="114">
        <v>66490.216456492431</v>
      </c>
      <c r="E35" s="114">
        <v>36343.95901907135</v>
      </c>
      <c r="F35" s="114">
        <v>77125.314906603657</v>
      </c>
      <c r="G35" s="114">
        <v>431865.03885993536</v>
      </c>
      <c r="H35" s="114">
        <v>392703.10584143113</v>
      </c>
      <c r="I35" s="114">
        <v>221454.73048777584</v>
      </c>
      <c r="J35" s="114">
        <v>27247.919989892751</v>
      </c>
      <c r="K35" s="114">
        <v>248670.01616460751</v>
      </c>
      <c r="L35" s="114">
        <v>31620.135781221838</v>
      </c>
      <c r="M35" s="114">
        <v>173250.35496251847</v>
      </c>
      <c r="N35" s="114">
        <f t="shared" si="0"/>
        <v>0.63322650741911246</v>
      </c>
      <c r="O35" s="174" t="s">
        <v>132</v>
      </c>
      <c r="P35" s="2526" t="s">
        <v>50</v>
      </c>
      <c r="Q35" s="2523"/>
      <c r="R35" s="114">
        <f>SUM(R8:R34)</f>
        <v>20524151.755642932</v>
      </c>
      <c r="S35" s="114">
        <f t="shared" ref="S35:AB35" si="1">SUM(S8:S34)</f>
        <v>6354400.4094797298</v>
      </c>
      <c r="T35" s="114">
        <f t="shared" si="1"/>
        <v>1706027.7462808753</v>
      </c>
      <c r="U35" s="114">
        <f t="shared" si="1"/>
        <v>7216991.6087576291</v>
      </c>
      <c r="V35" s="114">
        <f t="shared" si="1"/>
        <v>35801571.500161164</v>
      </c>
      <c r="W35" s="114">
        <f t="shared" si="1"/>
        <v>33106009.184636965</v>
      </c>
      <c r="X35" s="114">
        <f t="shared" si="1"/>
        <v>15828382.123338014</v>
      </c>
      <c r="Y35" s="114">
        <f t="shared" si="1"/>
        <v>2004254.5602284838</v>
      </c>
      <c r="Z35" s="114">
        <f t="shared" si="1"/>
        <v>17832637.331493236</v>
      </c>
      <c r="AA35" s="114">
        <f t="shared" si="1"/>
        <v>2323527.7932422892</v>
      </c>
      <c r="AB35" s="114">
        <f t="shared" si="1"/>
        <v>16746035.753485154</v>
      </c>
      <c r="AC35" s="114">
        <f>Z35/W35*100</f>
        <v>53.8652582135106</v>
      </c>
      <c r="AD35" s="177" t="s">
        <v>132</v>
      </c>
    </row>
    <row r="36" spans="1:30">
      <c r="A36" s="14" t="s">
        <v>278</v>
      </c>
      <c r="B36" s="18"/>
      <c r="C36" s="15"/>
      <c r="D36" s="15"/>
      <c r="E36" s="15"/>
      <c r="F36" s="15"/>
      <c r="G36" s="15"/>
      <c r="H36" s="15"/>
      <c r="I36" s="15"/>
      <c r="J36" s="15"/>
      <c r="K36" s="15"/>
      <c r="L36" s="15"/>
      <c r="M36" s="15"/>
      <c r="N36" s="15"/>
      <c r="O36" s="16"/>
      <c r="P36" s="233"/>
      <c r="Q36" t="s">
        <v>674</v>
      </c>
      <c r="R36" s="15"/>
      <c r="S36" s="15"/>
      <c r="T36" s="15"/>
      <c r="U36" s="15"/>
      <c r="V36" s="15"/>
      <c r="W36" s="15"/>
      <c r="X36" s="15"/>
      <c r="Y36" s="15" t="s">
        <v>685</v>
      </c>
      <c r="Z36" s="15"/>
      <c r="AA36" s="15"/>
      <c r="AB36" s="15"/>
      <c r="AC36" s="15"/>
      <c r="AD36" s="178"/>
    </row>
    <row r="37" spans="1:30">
      <c r="A37" s="17" t="s">
        <v>279</v>
      </c>
      <c r="B37" s="18"/>
      <c r="C37" s="15"/>
      <c r="D37" s="15"/>
      <c r="E37" s="15"/>
      <c r="F37" s="15"/>
      <c r="G37" s="15"/>
      <c r="H37" s="15"/>
      <c r="I37" s="15"/>
      <c r="J37" s="15"/>
      <c r="K37" s="104" t="s">
        <v>647</v>
      </c>
      <c r="L37" s="104"/>
      <c r="M37" s="104"/>
      <c r="N37" s="104"/>
      <c r="P37" s="167"/>
      <c r="Q37" t="s">
        <v>673</v>
      </c>
      <c r="R37" s="15"/>
      <c r="S37" s="15"/>
      <c r="T37" s="15"/>
      <c r="U37" s="15"/>
      <c r="V37" s="15"/>
      <c r="W37" s="15"/>
      <c r="X37" s="15"/>
      <c r="Y37" s="15" t="s">
        <v>675</v>
      </c>
      <c r="Z37" s="104"/>
      <c r="AA37" s="104"/>
      <c r="AB37" s="104"/>
      <c r="AC37" s="104"/>
      <c r="AD37" s="175"/>
    </row>
    <row r="38" spans="1:30" ht="15.75" thickBot="1">
      <c r="A38"/>
      <c r="P38" s="179" t="s">
        <v>676</v>
      </c>
      <c r="Q38" s="180"/>
      <c r="R38" s="181"/>
      <c r="S38" s="181"/>
      <c r="T38" s="181"/>
      <c r="U38" s="181"/>
      <c r="V38" s="181"/>
      <c r="W38" s="181"/>
      <c r="X38" s="181"/>
      <c r="Y38" s="181"/>
      <c r="Z38" s="181"/>
      <c r="AA38" s="181"/>
      <c r="AB38" s="181"/>
      <c r="AC38" s="181"/>
      <c r="AD38" s="182"/>
    </row>
    <row r="39" spans="1:30" ht="15.75" thickTop="1"/>
    <row r="171" spans="7:7">
      <c r="G171" s="1"/>
    </row>
  </sheetData>
  <mergeCells count="32">
    <mergeCell ref="P35:Q35"/>
    <mergeCell ref="P1:AD1"/>
    <mergeCell ref="P2:AD2"/>
    <mergeCell ref="P5:P6"/>
    <mergeCell ref="AD5:AD6"/>
    <mergeCell ref="R5:S5"/>
    <mergeCell ref="T5:U5"/>
    <mergeCell ref="V5:V6"/>
    <mergeCell ref="W5:W6"/>
    <mergeCell ref="X5:X6"/>
    <mergeCell ref="Y5:Y6"/>
    <mergeCell ref="Z5:Z6"/>
    <mergeCell ref="AA5:AA6"/>
    <mergeCell ref="AB5:AB6"/>
    <mergeCell ref="AC5:AC6"/>
    <mergeCell ref="Q5:Q6"/>
    <mergeCell ref="A1:O1"/>
    <mergeCell ref="A2:O2"/>
    <mergeCell ref="A35:B35"/>
    <mergeCell ref="M5:M6"/>
    <mergeCell ref="N5:N6"/>
    <mergeCell ref="O5:O6"/>
    <mergeCell ref="A5:A6"/>
    <mergeCell ref="B5:B6"/>
    <mergeCell ref="C5:D5"/>
    <mergeCell ref="E5:F5"/>
    <mergeCell ref="G5:G6"/>
    <mergeCell ref="H5:H6"/>
    <mergeCell ref="I5:I6"/>
    <mergeCell ref="J5:J6"/>
    <mergeCell ref="K5:K6"/>
    <mergeCell ref="L5:L6"/>
  </mergeCells>
  <conditionalFormatting sqref="P7:AD35">
    <cfRule type="expression" dxfId="7" priority="1">
      <formula>MOD(ROW(),3)=1</formula>
    </cfRule>
  </conditionalFormatting>
  <printOptions horizontalCentered="1"/>
  <pageMargins left="0.70866141732283505" right="0.70866141732283505" top="0.511811023622047" bottom="0.39370078740157499" header="0.31496062992126" footer="0.31496062992126"/>
  <pageSetup paperSize="9" scale="57" fitToWidth="0" fitToHeight="0" orientation="landscape" r:id="rId1"/>
  <rowBreaks count="1" manualBreakCount="1">
    <brk id="22" max="29"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G174"/>
  <sheetViews>
    <sheetView view="pageBreakPreview" topLeftCell="Q1" zoomScaleSheetLayoutView="100" workbookViewId="0">
      <selection activeCell="S17" sqref="S17"/>
    </sheetView>
  </sheetViews>
  <sheetFormatPr defaultColWidth="10.85546875" defaultRowHeight="15"/>
  <cols>
    <col min="1" max="1" width="7" style="1" hidden="1" customWidth="1"/>
    <col min="2" max="2" width="19" style="29" hidden="1" customWidth="1"/>
    <col min="3" max="3" width="9" style="1" hidden="1" customWidth="1"/>
    <col min="4" max="4" width="10.42578125" style="1" hidden="1" customWidth="1"/>
    <col min="5" max="5" width="9" style="1" hidden="1" customWidth="1"/>
    <col min="6" max="6" width="10.28515625" style="1" hidden="1" customWidth="1"/>
    <col min="7" max="7" width="8.140625" style="1" hidden="1" customWidth="1"/>
    <col min="8" max="8" width="9.42578125" style="1" hidden="1" customWidth="1"/>
    <col min="9" max="9" width="10.85546875" style="1" hidden="1" customWidth="1"/>
    <col min="10" max="10" width="9.5703125" style="1" hidden="1" customWidth="1"/>
    <col min="11" max="11" width="9.28515625" style="1" hidden="1" customWidth="1"/>
    <col min="12" max="12" width="8.140625" style="1" hidden="1" customWidth="1"/>
    <col min="13" max="13" width="10.28515625" style="1" hidden="1" customWidth="1"/>
    <col min="14" max="14" width="10.5703125" style="1" hidden="1" customWidth="1"/>
    <col min="15" max="15" width="8.85546875" style="1" hidden="1" customWidth="1"/>
    <col min="16" max="16" width="18.28515625" style="1" hidden="1" customWidth="1"/>
    <col min="17" max="17" width="10.85546875" style="1"/>
    <col min="18" max="18" width="19" style="1" customWidth="1"/>
    <col min="19" max="31" width="10.85546875" style="1"/>
    <col min="32" max="32" width="12.42578125" style="1" bestFit="1" customWidth="1"/>
    <col min="33" max="33" width="16.42578125" style="1" customWidth="1"/>
    <col min="34" max="16384" width="10.85546875" style="1"/>
  </cols>
  <sheetData>
    <row r="1" spans="1:33" s="7" customFormat="1" ht="19.5" customHeight="1" thickTop="1">
      <c r="A1" s="2543" t="s">
        <v>629</v>
      </c>
      <c r="B1" s="2543"/>
      <c r="C1" s="2543"/>
      <c r="D1" s="2543"/>
      <c r="E1" s="2543"/>
      <c r="F1" s="2543"/>
      <c r="G1" s="2543"/>
      <c r="H1" s="2543"/>
      <c r="I1" s="2543"/>
      <c r="J1" s="2543"/>
      <c r="K1" s="2543"/>
      <c r="L1" s="2543"/>
      <c r="M1" s="2543"/>
      <c r="N1" s="2543"/>
      <c r="O1" s="2543"/>
      <c r="P1" s="2543"/>
      <c r="Q1" s="2548" t="s">
        <v>2827</v>
      </c>
      <c r="R1" s="2549"/>
      <c r="S1" s="2549"/>
      <c r="T1" s="2549"/>
      <c r="U1" s="2549"/>
      <c r="V1" s="2549"/>
      <c r="W1" s="2549"/>
      <c r="X1" s="2549"/>
      <c r="Y1" s="2549"/>
      <c r="Z1" s="2549"/>
      <c r="AA1" s="2549"/>
      <c r="AB1" s="2549"/>
      <c r="AC1" s="2549"/>
      <c r="AD1" s="2549"/>
      <c r="AE1" s="2549"/>
      <c r="AF1" s="2549"/>
      <c r="AG1" s="154"/>
    </row>
    <row r="2" spans="1:33" s="7" customFormat="1" ht="20.100000000000001" customHeight="1">
      <c r="A2" s="2543" t="s">
        <v>634</v>
      </c>
      <c r="B2" s="2543"/>
      <c r="C2" s="2543"/>
      <c r="D2" s="2543"/>
      <c r="E2" s="2543"/>
      <c r="F2" s="2543"/>
      <c r="G2" s="2543"/>
      <c r="H2" s="2543"/>
      <c r="I2" s="2543"/>
      <c r="J2" s="2543"/>
      <c r="K2" s="2543"/>
      <c r="L2" s="2543"/>
      <c r="M2" s="2543"/>
      <c r="N2" s="2543"/>
      <c r="O2" s="2543"/>
      <c r="P2" s="2543"/>
      <c r="Q2" s="2550" t="s">
        <v>2828</v>
      </c>
      <c r="R2" s="2543"/>
      <c r="S2" s="2543"/>
      <c r="T2" s="2543"/>
      <c r="U2" s="2543"/>
      <c r="V2" s="2543"/>
      <c r="W2" s="2543"/>
      <c r="X2" s="2543"/>
      <c r="Y2" s="2543"/>
      <c r="Z2" s="2543"/>
      <c r="AA2" s="2543"/>
      <c r="AB2" s="2543"/>
      <c r="AC2" s="2543"/>
      <c r="AD2" s="2543"/>
      <c r="AE2" s="2543"/>
      <c r="AF2" s="2543"/>
      <c r="AG2" s="1137"/>
    </row>
    <row r="3" spans="1:33" s="7" customFormat="1" ht="20.100000000000001" customHeight="1">
      <c r="B3" s="42"/>
      <c r="C3" s="66"/>
      <c r="D3" s="43"/>
      <c r="E3" s="44"/>
      <c r="F3" s="44"/>
      <c r="G3" s="45"/>
      <c r="H3" s="45"/>
      <c r="I3" s="44"/>
      <c r="J3" s="44"/>
      <c r="K3" s="46"/>
      <c r="L3" s="46"/>
      <c r="M3" s="2542" t="s">
        <v>131</v>
      </c>
      <c r="N3" s="2542"/>
      <c r="O3" s="2542"/>
      <c r="P3" s="2542"/>
      <c r="Q3" s="1136"/>
      <c r="R3" s="42"/>
      <c r="S3" s="374"/>
      <c r="T3" s="43"/>
      <c r="U3" s="44"/>
      <c r="V3" s="44"/>
      <c r="W3" s="45"/>
      <c r="X3" s="45"/>
      <c r="Y3" s="44"/>
      <c r="Z3" s="44"/>
      <c r="AA3" s="46"/>
      <c r="AB3" s="46"/>
      <c r="AC3" s="2542" t="s">
        <v>755</v>
      </c>
      <c r="AD3" s="2542"/>
      <c r="AE3" s="2542"/>
      <c r="AF3" s="2542"/>
      <c r="AG3" s="1137"/>
    </row>
    <row r="4" spans="1:33" s="87" customFormat="1" ht="61.5" customHeight="1">
      <c r="A4" s="2536" t="s">
        <v>520</v>
      </c>
      <c r="B4" s="2536" t="s">
        <v>108</v>
      </c>
      <c r="C4" s="2538" t="s">
        <v>255</v>
      </c>
      <c r="D4" s="2547"/>
      <c r="E4" s="2547"/>
      <c r="F4" s="2539"/>
      <c r="G4" s="2536" t="s">
        <v>262</v>
      </c>
      <c r="H4" s="2536" t="s">
        <v>263</v>
      </c>
      <c r="I4" s="2534" t="s">
        <v>264</v>
      </c>
      <c r="J4" s="2538" t="s">
        <v>266</v>
      </c>
      <c r="K4" s="2547"/>
      <c r="L4" s="2539"/>
      <c r="M4" s="2534" t="s">
        <v>268</v>
      </c>
      <c r="N4" s="2534" t="s">
        <v>269</v>
      </c>
      <c r="O4" s="2536" t="s">
        <v>270</v>
      </c>
      <c r="P4" s="2531" t="s">
        <v>141</v>
      </c>
      <c r="Q4" s="2556" t="s">
        <v>688</v>
      </c>
      <c r="R4" s="2531" t="s">
        <v>141</v>
      </c>
      <c r="S4" s="2559" t="s">
        <v>756</v>
      </c>
      <c r="T4" s="2559"/>
      <c r="U4" s="2559"/>
      <c r="V4" s="2559"/>
      <c r="W4" s="2560" t="s">
        <v>763</v>
      </c>
      <c r="X4" s="2551" t="s">
        <v>764</v>
      </c>
      <c r="Y4" s="2562" t="s">
        <v>765</v>
      </c>
      <c r="Z4" s="2553" t="s">
        <v>766</v>
      </c>
      <c r="AA4" s="2554"/>
      <c r="AB4" s="2554"/>
      <c r="AC4" s="2555"/>
      <c r="AD4" s="2551" t="s">
        <v>770</v>
      </c>
      <c r="AE4" s="2551" t="s">
        <v>771</v>
      </c>
      <c r="AF4" s="2551" t="s">
        <v>772</v>
      </c>
      <c r="AG4" s="2564" t="s">
        <v>108</v>
      </c>
    </row>
    <row r="5" spans="1:33" s="87" customFormat="1" ht="51.75" customHeight="1">
      <c r="A5" s="2537"/>
      <c r="B5" s="2537"/>
      <c r="C5" s="2538" t="s">
        <v>256</v>
      </c>
      <c r="D5" s="2539"/>
      <c r="E5" s="2538" t="s">
        <v>257</v>
      </c>
      <c r="F5" s="2539"/>
      <c r="G5" s="2537"/>
      <c r="H5" s="2537"/>
      <c r="I5" s="2535"/>
      <c r="J5" s="2536" t="s">
        <v>265</v>
      </c>
      <c r="K5" s="2535" t="s">
        <v>267</v>
      </c>
      <c r="L5" s="2536" t="s">
        <v>262</v>
      </c>
      <c r="M5" s="2535"/>
      <c r="N5" s="2535"/>
      <c r="O5" s="2537"/>
      <c r="P5" s="2532"/>
      <c r="Q5" s="2557"/>
      <c r="R5" s="2532"/>
      <c r="S5" s="2554" t="s">
        <v>757</v>
      </c>
      <c r="T5" s="2555"/>
      <c r="U5" s="2553" t="s">
        <v>758</v>
      </c>
      <c r="V5" s="2554"/>
      <c r="W5" s="2561"/>
      <c r="X5" s="2552"/>
      <c r="Y5" s="2563"/>
      <c r="Z5" s="2551" t="s">
        <v>767</v>
      </c>
      <c r="AA5" s="2563" t="s">
        <v>768</v>
      </c>
      <c r="AB5" s="2563" t="s">
        <v>769</v>
      </c>
      <c r="AC5" s="2551" t="s">
        <v>763</v>
      </c>
      <c r="AD5" s="2552"/>
      <c r="AE5" s="2552"/>
      <c r="AF5" s="2552"/>
      <c r="AG5" s="2565"/>
    </row>
    <row r="6" spans="1:33" s="87" customFormat="1" ht="113.25" customHeight="1">
      <c r="A6" s="2534"/>
      <c r="B6" s="2534"/>
      <c r="C6" s="86" t="s">
        <v>258</v>
      </c>
      <c r="D6" s="86" t="s">
        <v>259</v>
      </c>
      <c r="E6" s="86" t="s">
        <v>260</v>
      </c>
      <c r="F6" s="86" t="s">
        <v>261</v>
      </c>
      <c r="G6" s="2534"/>
      <c r="H6" s="2534"/>
      <c r="I6" s="2535"/>
      <c r="J6" s="2534"/>
      <c r="K6" s="2535"/>
      <c r="L6" s="2534"/>
      <c r="M6" s="2535"/>
      <c r="N6" s="2535"/>
      <c r="O6" s="2534"/>
      <c r="P6" s="2533"/>
      <c r="Q6" s="2558"/>
      <c r="R6" s="2532"/>
      <c r="S6" s="1533" t="s">
        <v>759</v>
      </c>
      <c r="T6" s="1534" t="s">
        <v>760</v>
      </c>
      <c r="U6" s="1534" t="s">
        <v>761</v>
      </c>
      <c r="V6" s="1535" t="s">
        <v>762</v>
      </c>
      <c r="W6" s="2561"/>
      <c r="X6" s="2552"/>
      <c r="Y6" s="2551"/>
      <c r="Z6" s="2552"/>
      <c r="AA6" s="2551"/>
      <c r="AB6" s="2551"/>
      <c r="AC6" s="2552"/>
      <c r="AD6" s="2552"/>
      <c r="AE6" s="2552"/>
      <c r="AF6" s="2552"/>
      <c r="AG6" s="2566"/>
    </row>
    <row r="7" spans="1:33" s="87" customFormat="1" ht="19.5" customHeight="1">
      <c r="A7" s="132"/>
      <c r="B7" s="132"/>
      <c r="C7" s="86"/>
      <c r="D7" s="86"/>
      <c r="E7" s="86"/>
      <c r="F7" s="86"/>
      <c r="G7" s="132"/>
      <c r="H7" s="132"/>
      <c r="I7" s="86"/>
      <c r="J7" s="132"/>
      <c r="K7" s="86"/>
      <c r="L7" s="132"/>
      <c r="M7" s="86"/>
      <c r="N7" s="86"/>
      <c r="O7" s="132"/>
      <c r="P7" s="151"/>
      <c r="Q7" s="155">
        <v>1</v>
      </c>
      <c r="R7" s="1505">
        <v>17</v>
      </c>
      <c r="S7" s="1481">
        <v>3</v>
      </c>
      <c r="T7" s="133">
        <v>4</v>
      </c>
      <c r="U7" s="133">
        <v>5</v>
      </c>
      <c r="V7" s="1488">
        <v>6</v>
      </c>
      <c r="W7" s="1481">
        <v>7</v>
      </c>
      <c r="X7" s="133">
        <v>8</v>
      </c>
      <c r="Y7" s="133">
        <v>9</v>
      </c>
      <c r="Z7" s="133">
        <v>10</v>
      </c>
      <c r="AA7" s="133">
        <v>11</v>
      </c>
      <c r="AB7" s="133">
        <v>12</v>
      </c>
      <c r="AC7" s="133">
        <v>13</v>
      </c>
      <c r="AD7" s="133">
        <v>14</v>
      </c>
      <c r="AE7" s="133">
        <v>15</v>
      </c>
      <c r="AF7" s="133">
        <v>16</v>
      </c>
      <c r="AG7" s="1476">
        <v>2</v>
      </c>
    </row>
    <row r="8" spans="1:33" s="7" customFormat="1" ht="21.95" customHeight="1">
      <c r="A8" s="10">
        <v>1</v>
      </c>
      <c r="B8" s="5" t="s">
        <v>14</v>
      </c>
      <c r="C8" s="55">
        <v>9.963351387868812</v>
      </c>
      <c r="D8" s="55">
        <v>5.6175078988157177</v>
      </c>
      <c r="E8" s="55">
        <v>1.2122840862817659</v>
      </c>
      <c r="F8" s="55">
        <v>4.4247083675820917</v>
      </c>
      <c r="G8" s="11">
        <f>C8+D8+E8+F8</f>
        <v>21.217851740548387</v>
      </c>
      <c r="H8" s="55">
        <v>1.065166523027419</v>
      </c>
      <c r="I8" s="55">
        <v>20.152685159999997</v>
      </c>
      <c r="J8" s="55">
        <v>7.8504042084629333</v>
      </c>
      <c r="K8" s="36">
        <v>1.0466279192221002</v>
      </c>
      <c r="L8" s="11">
        <f>J8+K8</f>
        <v>8.8970321276850335</v>
      </c>
      <c r="M8" s="55">
        <v>1.4794950099999999</v>
      </c>
      <c r="N8" s="55">
        <v>12.313962890000001</v>
      </c>
      <c r="O8" s="55">
        <v>44.148122481188189</v>
      </c>
      <c r="P8" s="152" t="s">
        <v>144</v>
      </c>
      <c r="Q8" s="156">
        <v>1</v>
      </c>
      <c r="R8" s="1478" t="s">
        <v>144</v>
      </c>
      <c r="S8" s="1482">
        <v>8.93</v>
      </c>
      <c r="T8" s="134">
        <v>8.5399999999999991</v>
      </c>
      <c r="U8" s="134">
        <v>0.85</v>
      </c>
      <c r="V8" s="1489">
        <v>5.83</v>
      </c>
      <c r="W8" s="1482">
        <v>24.15</v>
      </c>
      <c r="X8" s="134">
        <v>1.21</v>
      </c>
      <c r="Y8" s="134">
        <v>22.94</v>
      </c>
      <c r="Z8" s="134">
        <v>6.6</v>
      </c>
      <c r="AA8" s="134">
        <v>0.15</v>
      </c>
      <c r="AB8" s="134">
        <v>0.88</v>
      </c>
      <c r="AC8" s="134">
        <v>7.63</v>
      </c>
      <c r="AD8" s="134">
        <v>1.31</v>
      </c>
      <c r="AE8" s="134">
        <v>15.91</v>
      </c>
      <c r="AF8" s="134">
        <v>33.26</v>
      </c>
      <c r="AG8" s="630" t="s">
        <v>14</v>
      </c>
    </row>
    <row r="9" spans="1:33" ht="21.95" customHeight="1">
      <c r="A9" s="10">
        <v>2</v>
      </c>
      <c r="B9" s="5" t="s">
        <v>15</v>
      </c>
      <c r="C9" s="55">
        <v>1.8891073</v>
      </c>
      <c r="D9" s="55">
        <v>0.17668</v>
      </c>
      <c r="E9" s="55">
        <v>0.95096767029220008</v>
      </c>
      <c r="F9" s="55">
        <v>8.2435999999999985E-3</v>
      </c>
      <c r="G9" s="11">
        <f t="shared" ref="G9:G37" si="0">C9+D9+E9+F9</f>
        <v>3.0249985702922002</v>
      </c>
      <c r="H9" s="55">
        <v>0.35829831278564045</v>
      </c>
      <c r="I9" s="55">
        <v>2.6667002575065597</v>
      </c>
      <c r="J9" s="55">
        <v>0</v>
      </c>
      <c r="K9" s="36">
        <v>7.4450000000000002E-3</v>
      </c>
      <c r="L9" s="11">
        <f t="shared" ref="L9:L37" si="1">J9+K9</f>
        <v>7.4450000000000002E-3</v>
      </c>
      <c r="M9" s="55">
        <v>2.5595100000000003E-2</v>
      </c>
      <c r="N9" s="55">
        <v>2.6409401768159673</v>
      </c>
      <c r="O9" s="55">
        <v>0.27918398324081933</v>
      </c>
      <c r="P9" s="152" t="s">
        <v>145</v>
      </c>
      <c r="Q9" s="156">
        <v>2</v>
      </c>
      <c r="R9" s="152" t="s">
        <v>145</v>
      </c>
      <c r="S9" s="238">
        <v>2.0099999999999998</v>
      </c>
      <c r="T9" s="128">
        <v>7.0000000000000007E-2</v>
      </c>
      <c r="U9" s="128">
        <v>1.1100000000000001</v>
      </c>
      <c r="V9" s="1490">
        <v>2E-3</v>
      </c>
      <c r="W9" s="238">
        <v>3.19</v>
      </c>
      <c r="X9" s="128">
        <v>0.27</v>
      </c>
      <c r="Y9" s="128">
        <v>2.92</v>
      </c>
      <c r="Z9" s="129">
        <v>3.0000000000000001E-3</v>
      </c>
      <c r="AA9" s="130">
        <v>2.0000000000000001E-4</v>
      </c>
      <c r="AB9" s="128">
        <v>0.01</v>
      </c>
      <c r="AC9" s="128">
        <v>0.01</v>
      </c>
      <c r="AD9" s="128">
        <v>0.01</v>
      </c>
      <c r="AE9" s="128">
        <v>2.9</v>
      </c>
      <c r="AF9" s="128">
        <v>0.36</v>
      </c>
      <c r="AG9" s="630" t="s">
        <v>15</v>
      </c>
    </row>
    <row r="10" spans="1:33" ht="21.95" customHeight="1">
      <c r="A10" s="10">
        <v>3</v>
      </c>
      <c r="B10" s="5" t="s">
        <v>21</v>
      </c>
      <c r="C10" s="55">
        <v>20.221106949152617</v>
      </c>
      <c r="D10" s="55">
        <v>0.43273665816301599</v>
      </c>
      <c r="E10" s="55">
        <v>7.2830248431199998</v>
      </c>
      <c r="F10" s="55">
        <v>0.73520828182302311</v>
      </c>
      <c r="G10" s="11">
        <f t="shared" si="0"/>
        <v>28.672076732258656</v>
      </c>
      <c r="H10" s="55">
        <v>4.4153503807103345</v>
      </c>
      <c r="I10" s="55">
        <v>24.25672635154832</v>
      </c>
      <c r="J10" s="55">
        <v>1.9747056000000001</v>
      </c>
      <c r="K10" s="36">
        <v>0.75338183921439905</v>
      </c>
      <c r="L10" s="11">
        <f t="shared" si="1"/>
        <v>2.728087439214399</v>
      </c>
      <c r="M10" s="55">
        <v>0.79253431367814731</v>
      </c>
      <c r="N10" s="55">
        <v>21.429765437870181</v>
      </c>
      <c r="O10" s="55">
        <v>11.246725546047411</v>
      </c>
      <c r="P10" s="152" t="s">
        <v>146</v>
      </c>
      <c r="Q10" s="1536">
        <f>Q9+1</f>
        <v>3</v>
      </c>
      <c r="R10" s="1537" t="s">
        <v>146</v>
      </c>
      <c r="S10" s="1538">
        <v>17.920000000000002</v>
      </c>
      <c r="T10" s="1539">
        <v>0.96</v>
      </c>
      <c r="U10" s="1539">
        <v>7.64</v>
      </c>
      <c r="V10" s="1540">
        <v>0.53</v>
      </c>
      <c r="W10" s="1538">
        <v>27.05</v>
      </c>
      <c r="X10" s="1539">
        <v>5.09</v>
      </c>
      <c r="Y10" s="1539">
        <v>21.97</v>
      </c>
      <c r="Z10" s="1539">
        <v>1.97</v>
      </c>
      <c r="AA10" s="1539">
        <v>0.01</v>
      </c>
      <c r="AB10" s="1539">
        <v>0.6</v>
      </c>
      <c r="AC10" s="1539">
        <v>2.58</v>
      </c>
      <c r="AD10" s="1539">
        <v>0.66</v>
      </c>
      <c r="AE10" s="1539">
        <v>19.329999999999998</v>
      </c>
      <c r="AF10" s="1539">
        <v>11.73</v>
      </c>
      <c r="AG10" s="1541" t="s">
        <v>21</v>
      </c>
    </row>
    <row r="11" spans="1:33" ht="21.95" customHeight="1">
      <c r="A11" s="10">
        <v>4</v>
      </c>
      <c r="B11" s="5" t="s">
        <v>22</v>
      </c>
      <c r="C11" s="55">
        <v>19.829999999999998</v>
      </c>
      <c r="D11" s="55">
        <v>3.95</v>
      </c>
      <c r="E11" s="55">
        <v>3.14</v>
      </c>
      <c r="F11" s="55">
        <v>4.5</v>
      </c>
      <c r="G11" s="11">
        <f t="shared" si="0"/>
        <v>31.419999999999998</v>
      </c>
      <c r="H11" s="55">
        <v>2.4300000000000002</v>
      </c>
      <c r="I11" s="55">
        <v>28.99</v>
      </c>
      <c r="J11" s="55">
        <v>10.78</v>
      </c>
      <c r="K11" s="36">
        <v>2.4900000000000002</v>
      </c>
      <c r="L11" s="11">
        <f t="shared" si="1"/>
        <v>13.27</v>
      </c>
      <c r="M11" s="55">
        <v>1.83</v>
      </c>
      <c r="N11" s="55">
        <v>15.78</v>
      </c>
      <c r="O11" s="55">
        <v>45.757632737177445</v>
      </c>
      <c r="P11" s="152" t="s">
        <v>147</v>
      </c>
      <c r="Q11" s="156">
        <f t="shared" ref="Q11:Q36" si="2">Q10+1</f>
        <v>4</v>
      </c>
      <c r="R11" s="152" t="s">
        <v>147</v>
      </c>
      <c r="S11" s="238">
        <v>21.02</v>
      </c>
      <c r="T11" s="128">
        <v>3.32</v>
      </c>
      <c r="U11" s="128">
        <v>1.29</v>
      </c>
      <c r="V11" s="1491">
        <v>2.42</v>
      </c>
      <c r="W11" s="238">
        <v>28.05</v>
      </c>
      <c r="X11" s="128">
        <v>2.6</v>
      </c>
      <c r="Y11" s="128">
        <v>25.46</v>
      </c>
      <c r="Z11" s="128">
        <v>10.33</v>
      </c>
      <c r="AA11" s="128">
        <v>0.65</v>
      </c>
      <c r="AB11" s="128">
        <v>2.04</v>
      </c>
      <c r="AC11" s="128">
        <v>13.02</v>
      </c>
      <c r="AD11" s="128">
        <v>2.29</v>
      </c>
      <c r="AE11" s="128">
        <v>12.23</v>
      </c>
      <c r="AF11" s="128">
        <v>51.14</v>
      </c>
      <c r="AG11" s="630" t="s">
        <v>22</v>
      </c>
    </row>
    <row r="12" spans="1:33" ht="21.95" customHeight="1">
      <c r="A12" s="10">
        <v>5</v>
      </c>
      <c r="B12" s="5" t="s">
        <v>23</v>
      </c>
      <c r="C12" s="55">
        <v>7.815260600000002</v>
      </c>
      <c r="D12" s="55">
        <v>1.3580242999999996</v>
      </c>
      <c r="E12" s="55">
        <v>0.76196199999999981</v>
      </c>
      <c r="F12" s="55">
        <v>1.6371641000000001</v>
      </c>
      <c r="G12" s="11">
        <f t="shared" si="0"/>
        <v>11.572411000000002</v>
      </c>
      <c r="H12" s="55">
        <v>1.0048157999999998</v>
      </c>
      <c r="I12" s="55">
        <v>10.567595199999998</v>
      </c>
      <c r="J12" s="55">
        <v>3.9811490622372161</v>
      </c>
      <c r="K12" s="36">
        <v>0.71412503280000006</v>
      </c>
      <c r="L12" s="11">
        <f t="shared" si="1"/>
        <v>4.6952740950372158</v>
      </c>
      <c r="M12" s="55">
        <v>0.79123699999999997</v>
      </c>
      <c r="N12" s="55">
        <v>5.7637336458042903</v>
      </c>
      <c r="O12" s="55">
        <v>44.430866305677732</v>
      </c>
      <c r="P12" s="152" t="s">
        <v>148</v>
      </c>
      <c r="Q12" s="156">
        <f t="shared" si="2"/>
        <v>5</v>
      </c>
      <c r="R12" s="152" t="s">
        <v>148</v>
      </c>
      <c r="S12" s="238">
        <v>8.33</v>
      </c>
      <c r="T12" s="128">
        <v>1.38</v>
      </c>
      <c r="U12" s="128">
        <v>1.1100000000000001</v>
      </c>
      <c r="V12" s="1491">
        <v>1.84</v>
      </c>
      <c r="W12" s="238">
        <v>12.65</v>
      </c>
      <c r="X12" s="128">
        <v>1.1100000000000001</v>
      </c>
      <c r="Y12" s="128">
        <v>11.55</v>
      </c>
      <c r="Z12" s="128">
        <v>4.53</v>
      </c>
      <c r="AA12" s="128">
        <v>0.1</v>
      </c>
      <c r="AB12" s="128">
        <v>0.71</v>
      </c>
      <c r="AC12" s="128">
        <v>5.35</v>
      </c>
      <c r="AD12" s="128">
        <v>0.84</v>
      </c>
      <c r="AE12" s="128">
        <v>6.25</v>
      </c>
      <c r="AF12" s="128">
        <v>46.34</v>
      </c>
      <c r="AG12" s="630" t="s">
        <v>23</v>
      </c>
    </row>
    <row r="13" spans="1:33" ht="21.95" customHeight="1">
      <c r="A13" s="10">
        <v>6</v>
      </c>
      <c r="B13" s="5" t="s">
        <v>24</v>
      </c>
      <c r="C13" s="55">
        <v>0.1284221885878872</v>
      </c>
      <c r="D13" s="55">
        <v>5.8388418153312298E-2</v>
      </c>
      <c r="E13" s="55">
        <v>2.7262453747350004E-2</v>
      </c>
      <c r="F13" s="55">
        <v>0.10692709828813605</v>
      </c>
      <c r="G13" s="11">
        <f t="shared" si="0"/>
        <v>0.32100015877668558</v>
      </c>
      <c r="H13" s="55">
        <v>2.0094781850212712E-2</v>
      </c>
      <c r="I13" s="55">
        <v>0.3009053769264729</v>
      </c>
      <c r="J13" s="55">
        <v>9.0535100500000007E-2</v>
      </c>
      <c r="K13" s="36">
        <v>0.26936785201419999</v>
      </c>
      <c r="L13" s="11">
        <f t="shared" si="1"/>
        <v>0.35990295251420001</v>
      </c>
      <c r="M13" s="55">
        <v>0.28880393793655068</v>
      </c>
      <c r="N13" s="55">
        <v>2.2994354505988968E-2</v>
      </c>
      <c r="O13" s="55">
        <v>119.60668705569306</v>
      </c>
      <c r="P13" s="152" t="s">
        <v>149</v>
      </c>
      <c r="Q13" s="156">
        <f t="shared" si="2"/>
        <v>6</v>
      </c>
      <c r="R13" s="152" t="s">
        <v>149</v>
      </c>
      <c r="S13" s="238">
        <v>0.05</v>
      </c>
      <c r="T13" s="128">
        <v>0.13</v>
      </c>
      <c r="U13" s="129">
        <v>4.0000000000000001E-3</v>
      </c>
      <c r="V13" s="1491">
        <v>0.13</v>
      </c>
      <c r="W13" s="238">
        <v>0.32</v>
      </c>
      <c r="X13" s="128">
        <v>0.03</v>
      </c>
      <c r="Y13" s="128">
        <v>0.28999999999999998</v>
      </c>
      <c r="Z13" s="128">
        <v>7.0000000000000007E-2</v>
      </c>
      <c r="AA13" s="128">
        <v>0.04</v>
      </c>
      <c r="AB13" s="128">
        <v>0.18</v>
      </c>
      <c r="AC13" s="128">
        <v>0.28999999999999998</v>
      </c>
      <c r="AD13" s="128">
        <v>0.19</v>
      </c>
      <c r="AE13" s="128">
        <v>0.02</v>
      </c>
      <c r="AF13" s="128">
        <v>101.4</v>
      </c>
      <c r="AG13" s="630" t="s">
        <v>24</v>
      </c>
    </row>
    <row r="14" spans="1:33" ht="21.95" customHeight="1">
      <c r="A14" s="10">
        <v>7</v>
      </c>
      <c r="B14" s="5" t="s">
        <v>16</v>
      </c>
      <c r="C14" s="55">
        <v>0.18995537334958651</v>
      </c>
      <c r="D14" s="55">
        <v>2.5323558131999997E-2</v>
      </c>
      <c r="E14" s="55">
        <v>6.442604079999999E-3</v>
      </c>
      <c r="F14" s="55">
        <v>4.5501843814080005E-2</v>
      </c>
      <c r="G14" s="11">
        <f t="shared" si="0"/>
        <v>0.26722337937566648</v>
      </c>
      <c r="H14" s="55">
        <v>0.10688935175026662</v>
      </c>
      <c r="I14" s="55">
        <v>0.16033402762539992</v>
      </c>
      <c r="J14" s="55">
        <v>2.0578500000000003E-2</v>
      </c>
      <c r="K14" s="36">
        <v>3.3135100000000001E-2</v>
      </c>
      <c r="L14" s="11">
        <f t="shared" si="1"/>
        <v>5.37136E-2</v>
      </c>
      <c r="M14" s="55">
        <v>3.6692339551450258E-2</v>
      </c>
      <c r="N14" s="55">
        <v>6.9928088073949637E-2</v>
      </c>
      <c r="O14" s="55">
        <v>33.501060751430138</v>
      </c>
      <c r="P14" s="152" t="s">
        <v>150</v>
      </c>
      <c r="Q14" s="156">
        <f t="shared" si="2"/>
        <v>7</v>
      </c>
      <c r="R14" s="152" t="s">
        <v>150</v>
      </c>
      <c r="S14" s="238">
        <v>0.34</v>
      </c>
      <c r="T14" s="128">
        <v>0.02</v>
      </c>
      <c r="U14" s="129">
        <v>3.0000000000000001E-3</v>
      </c>
      <c r="V14" s="1491">
        <v>0.04</v>
      </c>
      <c r="W14" s="238">
        <v>0.4</v>
      </c>
      <c r="X14" s="128">
        <v>0.08</v>
      </c>
      <c r="Y14" s="128">
        <v>0.32</v>
      </c>
      <c r="Z14" s="128">
        <v>0.02</v>
      </c>
      <c r="AA14" s="129">
        <v>4.0000000000000001E-3</v>
      </c>
      <c r="AB14" s="128">
        <v>0.05</v>
      </c>
      <c r="AC14" s="128">
        <v>0.08</v>
      </c>
      <c r="AD14" s="128">
        <v>0.05</v>
      </c>
      <c r="AE14" s="128">
        <v>0.24</v>
      </c>
      <c r="AF14" s="128">
        <v>23.48</v>
      </c>
      <c r="AG14" s="630" t="s">
        <v>16</v>
      </c>
    </row>
    <row r="15" spans="1:33" ht="21.95" customHeight="1">
      <c r="A15" s="10">
        <v>8</v>
      </c>
      <c r="B15" s="5" t="s">
        <v>17</v>
      </c>
      <c r="C15" s="55">
        <v>15.954363011906572</v>
      </c>
      <c r="D15" s="55">
        <v>3.3983873995358485</v>
      </c>
      <c r="E15" s="55">
        <v>0</v>
      </c>
      <c r="F15" s="55">
        <v>3.0158342896704071</v>
      </c>
      <c r="G15" s="11">
        <f t="shared" si="0"/>
        <v>22.36858470111283</v>
      </c>
      <c r="H15" s="55">
        <v>1.1184426134325147</v>
      </c>
      <c r="I15" s="55">
        <v>21.250142071950055</v>
      </c>
      <c r="J15" s="55">
        <v>12.840950499999998</v>
      </c>
      <c r="K15" s="36">
        <v>0.73629351549818101</v>
      </c>
      <c r="L15" s="11">
        <f t="shared" si="1"/>
        <v>13.577244015498179</v>
      </c>
      <c r="M15" s="55">
        <v>0.90234999999999999</v>
      </c>
      <c r="N15" s="55">
        <v>7.9764684491056999</v>
      </c>
      <c r="O15" s="55">
        <v>63.892485845635782</v>
      </c>
      <c r="P15" s="152" t="s">
        <v>151</v>
      </c>
      <c r="Q15" s="156">
        <f t="shared" si="2"/>
        <v>8</v>
      </c>
      <c r="R15" s="152" t="s">
        <v>151</v>
      </c>
      <c r="S15" s="238">
        <v>19.59</v>
      </c>
      <c r="T15" s="128">
        <v>2.89</v>
      </c>
      <c r="U15" s="128">
        <v>0</v>
      </c>
      <c r="V15" s="1491">
        <v>4.32</v>
      </c>
      <c r="W15" s="238">
        <v>26.81</v>
      </c>
      <c r="X15" s="128">
        <v>1.9</v>
      </c>
      <c r="Y15" s="128">
        <v>24.91</v>
      </c>
      <c r="Z15" s="128">
        <v>12.65</v>
      </c>
      <c r="AA15" s="128">
        <v>0.03</v>
      </c>
      <c r="AB15" s="128">
        <v>0.62</v>
      </c>
      <c r="AC15" s="128">
        <v>13.3</v>
      </c>
      <c r="AD15" s="128">
        <v>0.78</v>
      </c>
      <c r="AE15" s="128">
        <v>12.52</v>
      </c>
      <c r="AF15" s="128">
        <v>53.39</v>
      </c>
      <c r="AG15" s="630" t="s">
        <v>17</v>
      </c>
    </row>
    <row r="16" spans="1:33" ht="21.95" customHeight="1">
      <c r="A16" s="10">
        <v>9</v>
      </c>
      <c r="B16" s="5" t="s">
        <v>25</v>
      </c>
      <c r="C16" s="55">
        <v>3.56</v>
      </c>
      <c r="D16" s="55">
        <v>2.5499999999999998</v>
      </c>
      <c r="E16" s="55">
        <v>1.0288524000000001</v>
      </c>
      <c r="F16" s="55">
        <v>3</v>
      </c>
      <c r="G16" s="11">
        <f t="shared" si="0"/>
        <v>10.138852399999999</v>
      </c>
      <c r="H16" s="55">
        <v>1.01</v>
      </c>
      <c r="I16" s="55">
        <v>9.1300000000000008</v>
      </c>
      <c r="J16" s="55">
        <v>11.53</v>
      </c>
      <c r="K16" s="36">
        <v>0.96929200000000004</v>
      </c>
      <c r="L16" s="11">
        <f t="shared" si="1"/>
        <v>12.499291999999999</v>
      </c>
      <c r="M16" s="55">
        <v>0.71665999999999996</v>
      </c>
      <c r="N16" s="55">
        <v>0.87</v>
      </c>
      <c r="O16" s="55">
        <v>136.90781356382644</v>
      </c>
      <c r="P16" s="152" t="s">
        <v>152</v>
      </c>
      <c r="Q16" s="156">
        <f t="shared" si="2"/>
        <v>9</v>
      </c>
      <c r="R16" s="152" t="s">
        <v>152</v>
      </c>
      <c r="S16" s="238">
        <v>3.24</v>
      </c>
      <c r="T16" s="128">
        <v>2.81</v>
      </c>
      <c r="U16" s="128">
        <v>0.57999999999999996</v>
      </c>
      <c r="V16" s="1491">
        <v>2.9</v>
      </c>
      <c r="W16" s="238">
        <v>9.5299999999999994</v>
      </c>
      <c r="X16" s="128">
        <v>0.9</v>
      </c>
      <c r="Y16" s="128">
        <v>8.6300000000000008</v>
      </c>
      <c r="Z16" s="128">
        <v>10.47</v>
      </c>
      <c r="AA16" s="128">
        <v>0.53</v>
      </c>
      <c r="AB16" s="128">
        <v>0.62</v>
      </c>
      <c r="AC16" s="128">
        <v>11.61</v>
      </c>
      <c r="AD16" s="128">
        <v>0.56999999999999995</v>
      </c>
      <c r="AE16" s="128">
        <v>0.97</v>
      </c>
      <c r="AF16" s="128">
        <v>134.56</v>
      </c>
      <c r="AG16" s="630" t="s">
        <v>25</v>
      </c>
    </row>
    <row r="17" spans="1:33" ht="21.95" customHeight="1">
      <c r="A17" s="10">
        <v>10</v>
      </c>
      <c r="B17" s="5" t="s">
        <v>5</v>
      </c>
      <c r="C17" s="55">
        <v>0.33532119999999993</v>
      </c>
      <c r="D17" s="55">
        <v>1.6652500000000001E-2</v>
      </c>
      <c r="E17" s="55">
        <v>0.11466290000000001</v>
      </c>
      <c r="F17" s="55">
        <v>3.9131699999999998E-2</v>
      </c>
      <c r="G17" s="11">
        <f t="shared" si="0"/>
        <v>0.50576829999999995</v>
      </c>
      <c r="H17" s="55">
        <v>5.0598000000000004E-2</v>
      </c>
      <c r="I17" s="55">
        <v>0.45517029999999997</v>
      </c>
      <c r="J17" s="55">
        <v>0.20234820000000001</v>
      </c>
      <c r="K17" s="36">
        <v>0.1907711</v>
      </c>
      <c r="L17" s="11">
        <f t="shared" si="1"/>
        <v>0.3931193</v>
      </c>
      <c r="M17" s="55">
        <v>0.33964979999999995</v>
      </c>
      <c r="N17" s="55">
        <v>0.16444249999999999</v>
      </c>
      <c r="O17" s="55">
        <v>86.367520024922555</v>
      </c>
      <c r="P17" s="152" t="s">
        <v>153</v>
      </c>
      <c r="Q17" s="156">
        <f t="shared" si="2"/>
        <v>10</v>
      </c>
      <c r="R17" s="152" t="s">
        <v>153</v>
      </c>
      <c r="S17" s="238">
        <v>0.66</v>
      </c>
      <c r="T17" s="128">
        <v>0.13</v>
      </c>
      <c r="U17" s="128">
        <v>0.13</v>
      </c>
      <c r="V17" s="1491">
        <v>0.14000000000000001</v>
      </c>
      <c r="W17" s="238">
        <v>1.07</v>
      </c>
      <c r="X17" s="128">
        <v>0.1</v>
      </c>
      <c r="Y17" s="128">
        <v>0.97</v>
      </c>
      <c r="Z17" s="128">
        <v>0.2</v>
      </c>
      <c r="AA17" s="128">
        <v>0.05</v>
      </c>
      <c r="AB17" s="128">
        <v>0.1</v>
      </c>
      <c r="AC17" s="128">
        <v>0.36</v>
      </c>
      <c r="AD17" s="128">
        <v>0.1</v>
      </c>
      <c r="AE17" s="128">
        <v>0.62</v>
      </c>
      <c r="AF17" s="128">
        <v>36.83</v>
      </c>
      <c r="AG17" s="630" t="s">
        <v>5</v>
      </c>
    </row>
    <row r="18" spans="1:33" ht="21.95" customHeight="1">
      <c r="A18" s="10">
        <v>12</v>
      </c>
      <c r="B18" s="5" t="s">
        <v>27</v>
      </c>
      <c r="C18" s="55">
        <v>5.2523674999999992</v>
      </c>
      <c r="D18" s="55">
        <v>0.12678680000000003</v>
      </c>
      <c r="E18" s="55">
        <v>0.41272039999999999</v>
      </c>
      <c r="F18" s="55">
        <v>0.42155400000000015</v>
      </c>
      <c r="G18" s="11">
        <f t="shared" si="0"/>
        <v>6.2134286999999997</v>
      </c>
      <c r="H18" s="55">
        <v>0.52352555499999998</v>
      </c>
      <c r="I18" s="55">
        <v>5.6899031449999997</v>
      </c>
      <c r="J18" s="55">
        <v>0.79525875000000001</v>
      </c>
      <c r="K18" s="36">
        <v>0.78247412052249987</v>
      </c>
      <c r="L18" s="11">
        <f t="shared" si="1"/>
        <v>1.5777328705225</v>
      </c>
      <c r="M18" s="55">
        <v>0.55899470000000018</v>
      </c>
      <c r="N18" s="55">
        <v>4.1280047761999992</v>
      </c>
      <c r="O18" s="55">
        <v>27.728641952524839</v>
      </c>
      <c r="P18" s="152" t="s">
        <v>155</v>
      </c>
      <c r="Q18" s="156">
        <f t="shared" si="2"/>
        <v>11</v>
      </c>
      <c r="R18" s="152" t="s">
        <v>155</v>
      </c>
      <c r="S18" s="238">
        <v>4.91</v>
      </c>
      <c r="T18" s="128">
        <v>0.43</v>
      </c>
      <c r="U18" s="128">
        <v>0.47</v>
      </c>
      <c r="V18" s="1491">
        <v>0.35</v>
      </c>
      <c r="W18" s="238">
        <v>6.15</v>
      </c>
      <c r="X18" s="128">
        <v>0.51</v>
      </c>
      <c r="Y18" s="128">
        <v>5.64</v>
      </c>
      <c r="Z18" s="128">
        <v>0.93</v>
      </c>
      <c r="AA18" s="128">
        <v>0.2</v>
      </c>
      <c r="AB18" s="128">
        <v>0.51</v>
      </c>
      <c r="AC18" s="128">
        <v>1.64</v>
      </c>
      <c r="AD18" s="128">
        <v>0.52</v>
      </c>
      <c r="AE18" s="128">
        <v>4.0199999999999996</v>
      </c>
      <c r="AF18" s="128">
        <v>29.13</v>
      </c>
      <c r="AG18" s="630" t="s">
        <v>27</v>
      </c>
    </row>
    <row r="19" spans="1:33" ht="21.95" customHeight="1">
      <c r="A19" s="10">
        <v>13</v>
      </c>
      <c r="B19" s="5" t="s">
        <v>28</v>
      </c>
      <c r="C19" s="55">
        <v>6.5869636138192469</v>
      </c>
      <c r="D19" s="55">
        <v>4.3601217171055193</v>
      </c>
      <c r="E19" s="55">
        <v>2.6719558644328627</v>
      </c>
      <c r="F19" s="55">
        <v>3.2194632412041946</v>
      </c>
      <c r="G19" s="11">
        <f t="shared" si="0"/>
        <v>16.838504436561823</v>
      </c>
      <c r="H19" s="55">
        <v>2.0453278991506352</v>
      </c>
      <c r="I19" s="55">
        <v>14.793176537411187</v>
      </c>
      <c r="J19" s="55">
        <v>9.3867390968136668</v>
      </c>
      <c r="K19" s="36">
        <v>0.94978445070421125</v>
      </c>
      <c r="L19" s="11">
        <f t="shared" si="1"/>
        <v>10.336523547517878</v>
      </c>
      <c r="M19" s="55">
        <v>1.1373766696206109</v>
      </c>
      <c r="N19" s="55">
        <v>5.4117149722473625</v>
      </c>
      <c r="O19" s="55">
        <v>69.873590174343818</v>
      </c>
      <c r="P19" s="152" t="s">
        <v>156</v>
      </c>
      <c r="Q19" s="156">
        <f t="shared" si="2"/>
        <v>12</v>
      </c>
      <c r="R19" s="152" t="s">
        <v>156</v>
      </c>
      <c r="S19" s="238">
        <v>7.47</v>
      </c>
      <c r="T19" s="128">
        <v>4.68</v>
      </c>
      <c r="U19" s="128">
        <v>2.23</v>
      </c>
      <c r="V19" s="1491">
        <v>3.77</v>
      </c>
      <c r="W19" s="238">
        <v>18.16</v>
      </c>
      <c r="X19" s="128">
        <v>1.76</v>
      </c>
      <c r="Y19" s="128">
        <v>16.399999999999999</v>
      </c>
      <c r="Z19" s="128">
        <v>9.6</v>
      </c>
      <c r="AA19" s="128">
        <v>0</v>
      </c>
      <c r="AB19" s="128">
        <v>1.03</v>
      </c>
      <c r="AC19" s="128">
        <v>10.63</v>
      </c>
      <c r="AD19" s="128">
        <v>1.1599999999999999</v>
      </c>
      <c r="AE19" s="128">
        <v>7.08</v>
      </c>
      <c r="AF19" s="128">
        <v>64.849999999999994</v>
      </c>
      <c r="AG19" s="630" t="s">
        <v>28</v>
      </c>
    </row>
    <row r="20" spans="1:33" ht="21.95" customHeight="1">
      <c r="A20" s="10">
        <v>14</v>
      </c>
      <c r="B20" s="5" t="s">
        <v>6</v>
      </c>
      <c r="C20" s="55">
        <v>3.9120266499999996</v>
      </c>
      <c r="D20" s="55">
        <v>4.3314499999999999E-2</v>
      </c>
      <c r="E20" s="55">
        <v>0.68122528000000004</v>
      </c>
      <c r="F20" s="55">
        <v>1.132665531</v>
      </c>
      <c r="G20" s="11">
        <f t="shared" si="0"/>
        <v>5.769231961</v>
      </c>
      <c r="H20" s="55">
        <v>0.55748461000000005</v>
      </c>
      <c r="I20" s="55">
        <v>5.2117473509999996</v>
      </c>
      <c r="J20" s="55">
        <v>1.22057532</v>
      </c>
      <c r="K20" s="36">
        <v>1.4521851300000002</v>
      </c>
      <c r="L20" s="11">
        <f t="shared" si="1"/>
        <v>2.6727604500000002</v>
      </c>
      <c r="M20" s="55">
        <v>1.57127562</v>
      </c>
      <c r="N20" s="55">
        <v>2.4144909300000004</v>
      </c>
      <c r="O20" s="55">
        <v>51.270346201400116</v>
      </c>
      <c r="P20" s="152" t="s">
        <v>157</v>
      </c>
      <c r="Q20" s="156">
        <f t="shared" si="2"/>
        <v>13</v>
      </c>
      <c r="R20" s="152" t="s">
        <v>157</v>
      </c>
      <c r="S20" s="238">
        <v>4.2</v>
      </c>
      <c r="T20" s="128">
        <v>0.13</v>
      </c>
      <c r="U20" s="128">
        <v>0.46</v>
      </c>
      <c r="V20" s="1491">
        <v>0.86</v>
      </c>
      <c r="W20" s="238">
        <v>5.65</v>
      </c>
      <c r="X20" s="128">
        <v>0.53</v>
      </c>
      <c r="Y20" s="128">
        <v>5.12</v>
      </c>
      <c r="Z20" s="128">
        <v>1.1599999999999999</v>
      </c>
      <c r="AA20" s="128">
        <v>0.01</v>
      </c>
      <c r="AB20" s="128">
        <v>1.47</v>
      </c>
      <c r="AC20" s="128">
        <v>2.65</v>
      </c>
      <c r="AD20" s="128">
        <v>2.25</v>
      </c>
      <c r="AE20" s="128">
        <v>2.13</v>
      </c>
      <c r="AF20" s="128">
        <v>51.68</v>
      </c>
      <c r="AG20" s="630" t="s">
        <v>6</v>
      </c>
    </row>
    <row r="21" spans="1:33" ht="21.95" customHeight="1">
      <c r="A21" s="10">
        <v>15</v>
      </c>
      <c r="B21" s="5" t="s">
        <v>18</v>
      </c>
      <c r="C21" s="55">
        <v>27.104233699999991</v>
      </c>
      <c r="D21" s="55">
        <v>1.5053209999999997</v>
      </c>
      <c r="E21" s="55">
        <v>0.82310890000000003</v>
      </c>
      <c r="F21" s="55">
        <v>6.9888934999999996</v>
      </c>
      <c r="G21" s="11">
        <f t="shared" si="0"/>
        <v>36.421557099999987</v>
      </c>
      <c r="H21" s="55">
        <v>1.9479572999999994</v>
      </c>
      <c r="I21" s="55">
        <v>34.473599800000002</v>
      </c>
      <c r="J21" s="55">
        <v>17.4258712</v>
      </c>
      <c r="K21" s="36">
        <v>1.4527853899999998</v>
      </c>
      <c r="L21" s="11">
        <f t="shared" si="1"/>
        <v>18.878656589999999</v>
      </c>
      <c r="M21" s="55">
        <v>1.7210459</v>
      </c>
      <c r="N21" s="55">
        <v>15.841878325</v>
      </c>
      <c r="O21" s="55">
        <v>54.762660991382731</v>
      </c>
      <c r="P21" s="152" t="s">
        <v>158</v>
      </c>
      <c r="Q21" s="156">
        <f t="shared" si="2"/>
        <v>14</v>
      </c>
      <c r="R21" s="152" t="s">
        <v>158</v>
      </c>
      <c r="S21" s="238">
        <v>27.75</v>
      </c>
      <c r="T21" s="128">
        <v>1.6</v>
      </c>
      <c r="U21" s="128">
        <v>0.12</v>
      </c>
      <c r="V21" s="1491">
        <v>6.69</v>
      </c>
      <c r="W21" s="238">
        <v>36.159999999999997</v>
      </c>
      <c r="X21" s="128">
        <v>2.78</v>
      </c>
      <c r="Y21" s="128">
        <v>33.380000000000003</v>
      </c>
      <c r="Z21" s="128">
        <v>17.329999999999998</v>
      </c>
      <c r="AA21" s="128">
        <v>0.03</v>
      </c>
      <c r="AB21" s="128">
        <v>1.61</v>
      </c>
      <c r="AC21" s="128">
        <v>18.97</v>
      </c>
      <c r="AD21" s="128">
        <v>1.84</v>
      </c>
      <c r="AE21" s="128">
        <v>15.25</v>
      </c>
      <c r="AF21" s="128">
        <v>56.82</v>
      </c>
      <c r="AG21" s="630" t="s">
        <v>18</v>
      </c>
    </row>
    <row r="22" spans="1:33" ht="21.95" customHeight="1">
      <c r="A22" s="10">
        <v>16</v>
      </c>
      <c r="B22" s="5" t="s">
        <v>29</v>
      </c>
      <c r="C22" s="55">
        <v>20.589894010333154</v>
      </c>
      <c r="D22" s="55">
        <v>2.2861231309606702</v>
      </c>
      <c r="E22" s="55">
        <v>0.529955303167848</v>
      </c>
      <c r="F22" s="55">
        <v>8.2311571992400623</v>
      </c>
      <c r="G22" s="11">
        <f t="shared" si="0"/>
        <v>31.637129643701737</v>
      </c>
      <c r="H22" s="55">
        <v>1.7395296392936086</v>
      </c>
      <c r="I22" s="55">
        <v>29.897600004408122</v>
      </c>
      <c r="J22" s="55">
        <v>15.102394029530076</v>
      </c>
      <c r="K22" s="56">
        <v>1.2279667112754804</v>
      </c>
      <c r="L22" s="11">
        <f t="shared" si="1"/>
        <v>16.330360740805556</v>
      </c>
      <c r="M22" s="55">
        <v>2.2849832338184441</v>
      </c>
      <c r="N22" s="55">
        <v>12.911965623872055</v>
      </c>
      <c r="O22" s="55">
        <v>54.62097539065941</v>
      </c>
      <c r="P22" s="152" t="s">
        <v>159</v>
      </c>
      <c r="Q22" s="156">
        <f t="shared" si="2"/>
        <v>15</v>
      </c>
      <c r="R22" s="152" t="s">
        <v>159</v>
      </c>
      <c r="S22" s="238">
        <v>20.66</v>
      </c>
      <c r="T22" s="128">
        <v>2.38</v>
      </c>
      <c r="U22" s="128">
        <v>0.53</v>
      </c>
      <c r="V22" s="1491">
        <v>8.4499999999999993</v>
      </c>
      <c r="W22" s="238">
        <v>32.01</v>
      </c>
      <c r="X22" s="128">
        <v>1.76</v>
      </c>
      <c r="Y22" s="128">
        <v>30.25</v>
      </c>
      <c r="Z22" s="128">
        <v>15.29</v>
      </c>
      <c r="AA22" s="129">
        <v>3.0000000000000001E-3</v>
      </c>
      <c r="AB22" s="128">
        <v>1.34</v>
      </c>
      <c r="AC22" s="128">
        <v>16.63</v>
      </c>
      <c r="AD22" s="128">
        <v>1.34</v>
      </c>
      <c r="AE22" s="128">
        <v>14.2</v>
      </c>
      <c r="AF22" s="128">
        <v>54.99</v>
      </c>
      <c r="AG22" s="630" t="s">
        <v>29</v>
      </c>
    </row>
    <row r="23" spans="1:33" ht="21.95" customHeight="1">
      <c r="A23" s="10">
        <v>17</v>
      </c>
      <c r="B23" s="5" t="s">
        <v>19</v>
      </c>
      <c r="C23" s="55">
        <v>0.23141557200000004</v>
      </c>
      <c r="D23" s="55">
        <v>9.6196000000000007E-3</v>
      </c>
      <c r="E23" s="55">
        <v>0.16960348120000002</v>
      </c>
      <c r="F23" s="55">
        <v>1.92763E-2</v>
      </c>
      <c r="G23" s="11">
        <f t="shared" si="0"/>
        <v>0.42991495320000006</v>
      </c>
      <c r="H23" s="55">
        <v>4.2991500000000009E-2</v>
      </c>
      <c r="I23" s="55">
        <v>0.38692349999999998</v>
      </c>
      <c r="J23" s="55">
        <v>3.6119999999999998E-3</v>
      </c>
      <c r="K23" s="36">
        <v>1.9566000000000002E-3</v>
      </c>
      <c r="L23" s="11">
        <f t="shared" si="1"/>
        <v>5.5685999999999999E-3</v>
      </c>
      <c r="M23" s="55">
        <v>4.0166199999999992E-2</v>
      </c>
      <c r="N23" s="55">
        <v>0.34290529999999997</v>
      </c>
      <c r="O23" s="55">
        <v>1.439199221551547</v>
      </c>
      <c r="P23" s="152" t="s">
        <v>160</v>
      </c>
      <c r="Q23" s="156">
        <f t="shared" si="2"/>
        <v>16</v>
      </c>
      <c r="R23" s="152" t="s">
        <v>160</v>
      </c>
      <c r="S23" s="238">
        <v>0.4</v>
      </c>
      <c r="T23" s="129">
        <v>1E-3</v>
      </c>
      <c r="U23" s="128">
        <v>0.11</v>
      </c>
      <c r="V23" s="1490">
        <v>2E-3</v>
      </c>
      <c r="W23" s="238">
        <v>0.51</v>
      </c>
      <c r="X23" s="128">
        <v>0.05</v>
      </c>
      <c r="Y23" s="128">
        <v>0.46</v>
      </c>
      <c r="Z23" s="129">
        <v>3.0000000000000001E-3</v>
      </c>
      <c r="AA23" s="130">
        <v>2.0000000000000001E-4</v>
      </c>
      <c r="AB23" s="128">
        <v>0.02</v>
      </c>
      <c r="AC23" s="128">
        <v>0.02</v>
      </c>
      <c r="AD23" s="128">
        <v>0.02</v>
      </c>
      <c r="AE23" s="128">
        <v>0.44</v>
      </c>
      <c r="AF23" s="128">
        <v>5.12</v>
      </c>
      <c r="AG23" s="630" t="s">
        <v>19</v>
      </c>
    </row>
    <row r="24" spans="1:33" ht="20.25" customHeight="1">
      <c r="A24" s="10">
        <v>18</v>
      </c>
      <c r="B24" s="5" t="s">
        <v>8</v>
      </c>
      <c r="C24" s="55">
        <v>1.3680298660050116</v>
      </c>
      <c r="D24" s="55">
        <v>1.1818769999999999E-2</v>
      </c>
      <c r="E24" s="55">
        <v>0.42944399999999999</v>
      </c>
      <c r="F24" s="55">
        <v>2.2033234280000001E-2</v>
      </c>
      <c r="G24" s="11">
        <f t="shared" si="0"/>
        <v>1.8313258702850117</v>
      </c>
      <c r="H24" s="55">
        <v>0.19341130702850118</v>
      </c>
      <c r="I24" s="55">
        <v>1.6379145632565102</v>
      </c>
      <c r="J24" s="55">
        <v>2.8133999999999999E-2</v>
      </c>
      <c r="K24" s="36">
        <v>9.2613800000000013E-3</v>
      </c>
      <c r="L24" s="11">
        <f t="shared" si="1"/>
        <v>3.7395379999999999E-2</v>
      </c>
      <c r="M24" s="55">
        <v>1.8522759999999999E-2</v>
      </c>
      <c r="N24" s="55">
        <v>1.5912578032565106</v>
      </c>
      <c r="O24" s="55">
        <v>2.2831093171093313</v>
      </c>
      <c r="P24" s="152" t="s">
        <v>161</v>
      </c>
      <c r="Q24" s="156">
        <f t="shared" si="2"/>
        <v>17</v>
      </c>
      <c r="R24" s="152" t="s">
        <v>161</v>
      </c>
      <c r="S24" s="238">
        <v>1.66</v>
      </c>
      <c r="T24" s="128">
        <v>0.01</v>
      </c>
      <c r="U24" s="128">
        <v>0.36</v>
      </c>
      <c r="V24" s="1491">
        <v>0.01</v>
      </c>
      <c r="W24" s="238">
        <v>2.04</v>
      </c>
      <c r="X24" s="128">
        <v>0.22</v>
      </c>
      <c r="Y24" s="128">
        <v>1.82</v>
      </c>
      <c r="Z24" s="128">
        <v>0.03</v>
      </c>
      <c r="AA24" s="130">
        <v>2.9999999999999997E-4</v>
      </c>
      <c r="AB24" s="128">
        <v>0.05</v>
      </c>
      <c r="AC24" s="128">
        <v>0.08</v>
      </c>
      <c r="AD24" s="128">
        <v>0.06</v>
      </c>
      <c r="AE24" s="128">
        <v>1.73</v>
      </c>
      <c r="AF24" s="128">
        <v>4.22</v>
      </c>
      <c r="AG24" s="630" t="s">
        <v>8</v>
      </c>
    </row>
    <row r="25" spans="1:33" ht="18.75" customHeight="1">
      <c r="A25" s="10">
        <v>19</v>
      </c>
      <c r="B25" s="5" t="s">
        <v>30</v>
      </c>
      <c r="C25" s="55">
        <v>0.16222197783215034</v>
      </c>
      <c r="D25" s="55">
        <v>0</v>
      </c>
      <c r="E25" s="55">
        <v>5.0585551600000001E-2</v>
      </c>
      <c r="F25" s="55">
        <v>0</v>
      </c>
      <c r="G25" s="11">
        <f t="shared" si="0"/>
        <v>0.21280752943215034</v>
      </c>
      <c r="H25" s="55">
        <v>2.1280752943215034E-2</v>
      </c>
      <c r="I25" s="55">
        <v>0.19152677648893532</v>
      </c>
      <c r="J25" s="55">
        <v>0</v>
      </c>
      <c r="K25" s="36">
        <v>7.31866912818099E-3</v>
      </c>
      <c r="L25" s="11">
        <f t="shared" si="1"/>
        <v>7.31866912818099E-3</v>
      </c>
      <c r="M25" s="55">
        <v>1.0597565365300099E-2</v>
      </c>
      <c r="N25" s="55">
        <v>0.18092921112363516</v>
      </c>
      <c r="O25" s="55">
        <v>3.8212250330458608</v>
      </c>
      <c r="P25" s="152" t="s">
        <v>162</v>
      </c>
      <c r="Q25" s="156">
        <f t="shared" si="2"/>
        <v>18</v>
      </c>
      <c r="R25" s="152" t="s">
        <v>162</v>
      </c>
      <c r="S25" s="238">
        <v>0.19</v>
      </c>
      <c r="T25" s="128">
        <v>0</v>
      </c>
      <c r="U25" s="128">
        <v>0.03</v>
      </c>
      <c r="V25" s="1491">
        <v>0</v>
      </c>
      <c r="W25" s="238">
        <v>0.22</v>
      </c>
      <c r="X25" s="128">
        <v>0.02</v>
      </c>
      <c r="Y25" s="128">
        <v>0.2</v>
      </c>
      <c r="Z25" s="128">
        <v>0</v>
      </c>
      <c r="AA25" s="128">
        <v>0</v>
      </c>
      <c r="AB25" s="128">
        <v>0.01</v>
      </c>
      <c r="AC25" s="128">
        <v>0.01</v>
      </c>
      <c r="AD25" s="128">
        <v>0.01</v>
      </c>
      <c r="AE25" s="128">
        <v>0.19</v>
      </c>
      <c r="AF25" s="128">
        <v>3.81</v>
      </c>
      <c r="AG25" s="630" t="s">
        <v>30</v>
      </c>
    </row>
    <row r="26" spans="1:33" ht="18.75" customHeight="1">
      <c r="A26" s="10">
        <v>20</v>
      </c>
      <c r="B26" s="5" t="s">
        <v>31</v>
      </c>
      <c r="C26" s="55">
        <v>1.6461066999999998</v>
      </c>
      <c r="D26" s="55">
        <v>3.0710000000000001E-2</v>
      </c>
      <c r="E26" s="55">
        <v>0.52431510000000003</v>
      </c>
      <c r="F26" s="55">
        <v>3.3E-3</v>
      </c>
      <c r="G26" s="11">
        <f t="shared" si="0"/>
        <v>2.2044317999999996</v>
      </c>
      <c r="H26" s="55">
        <v>0.22044317999999999</v>
      </c>
      <c r="I26" s="55">
        <v>1.9839886199999996</v>
      </c>
      <c r="J26" s="55">
        <v>2.0884000000000002E-3</v>
      </c>
      <c r="K26" s="36">
        <v>1.7512800000000005E-2</v>
      </c>
      <c r="L26" s="11">
        <f t="shared" si="1"/>
        <v>1.9601200000000006E-2</v>
      </c>
      <c r="M26" s="55">
        <v>1.8783900000000003E-2</v>
      </c>
      <c r="N26" s="55">
        <v>1.9630826200000002</v>
      </c>
      <c r="O26" s="55">
        <v>0.98796937655821848</v>
      </c>
      <c r="P26" s="152" t="s">
        <v>163</v>
      </c>
      <c r="Q26" s="156">
        <f t="shared" si="2"/>
        <v>19</v>
      </c>
      <c r="R26" s="152" t="s">
        <v>163</v>
      </c>
      <c r="S26" s="238">
        <v>1.08</v>
      </c>
      <c r="T26" s="128">
        <v>0.76</v>
      </c>
      <c r="U26" s="128">
        <v>0.27</v>
      </c>
      <c r="V26" s="1491">
        <v>0.06</v>
      </c>
      <c r="W26" s="238">
        <v>2.17</v>
      </c>
      <c r="X26" s="128">
        <v>0.22</v>
      </c>
      <c r="Y26" s="128">
        <v>1.95</v>
      </c>
      <c r="Z26" s="129">
        <v>2E-3</v>
      </c>
      <c r="AA26" s="131">
        <v>3.0000000000000001E-5</v>
      </c>
      <c r="AB26" s="128">
        <v>0.02</v>
      </c>
      <c r="AC26" s="128">
        <v>0.02</v>
      </c>
      <c r="AD26" s="128">
        <v>0.02</v>
      </c>
      <c r="AE26" s="128">
        <v>1.93</v>
      </c>
      <c r="AF26" s="128">
        <v>1.04</v>
      </c>
      <c r="AG26" s="630" t="s">
        <v>31</v>
      </c>
    </row>
    <row r="27" spans="1:33" ht="18.75" customHeight="1">
      <c r="A27" s="10">
        <v>21</v>
      </c>
      <c r="B27" s="5" t="s">
        <v>9</v>
      </c>
      <c r="C27" s="55">
        <v>10.525114199999999</v>
      </c>
      <c r="D27" s="55">
        <v>2.3386934999999998</v>
      </c>
      <c r="E27" s="55">
        <v>1.5041041999999998</v>
      </c>
      <c r="F27" s="55">
        <v>2.3701648</v>
      </c>
      <c r="G27" s="11">
        <f t="shared" si="0"/>
        <v>16.738076700000001</v>
      </c>
      <c r="H27" s="55">
        <v>1.1671886999999999</v>
      </c>
      <c r="I27" s="55">
        <v>15.570888</v>
      </c>
      <c r="J27" s="55">
        <v>5.2822354999999996</v>
      </c>
      <c r="K27" s="36">
        <v>1.2854294999999998</v>
      </c>
      <c r="L27" s="11">
        <f t="shared" si="1"/>
        <v>6.5676649999999999</v>
      </c>
      <c r="M27" s="55">
        <v>1.3042704000000001</v>
      </c>
      <c r="N27" s="55">
        <v>8.8464992999999996</v>
      </c>
      <c r="O27" s="55">
        <v>42.179129411244887</v>
      </c>
      <c r="P27" s="152" t="s">
        <v>164</v>
      </c>
      <c r="Q27" s="169">
        <f t="shared" si="2"/>
        <v>20</v>
      </c>
      <c r="R27" s="1479" t="s">
        <v>164</v>
      </c>
      <c r="S27" s="1483">
        <v>10.26</v>
      </c>
      <c r="T27" s="170">
        <v>2.71</v>
      </c>
      <c r="U27" s="170">
        <v>1.51</v>
      </c>
      <c r="V27" s="1492">
        <v>2.6</v>
      </c>
      <c r="W27" s="1483">
        <v>17.079999999999998</v>
      </c>
      <c r="X27" s="170">
        <v>1.37</v>
      </c>
      <c r="Y27" s="170">
        <v>15.71</v>
      </c>
      <c r="Z27" s="170">
        <v>5.5</v>
      </c>
      <c r="AA27" s="170">
        <v>0.15</v>
      </c>
      <c r="AB27" s="170">
        <v>1.21</v>
      </c>
      <c r="AC27" s="170">
        <v>6.86</v>
      </c>
      <c r="AD27" s="170">
        <v>1.46</v>
      </c>
      <c r="AE27" s="170">
        <v>8.74</v>
      </c>
      <c r="AF27" s="170">
        <v>43.65</v>
      </c>
      <c r="AG27" s="1477" t="s">
        <v>9</v>
      </c>
    </row>
    <row r="28" spans="1:33" ht="18.75" customHeight="1" thickBot="1">
      <c r="A28" s="10">
        <v>22</v>
      </c>
      <c r="B28" s="5" t="s">
        <v>32</v>
      </c>
      <c r="C28" s="55">
        <v>5.5421834033707613</v>
      </c>
      <c r="D28" s="55">
        <v>11.828541227218679</v>
      </c>
      <c r="E28" s="55">
        <v>1.3101420768000001</v>
      </c>
      <c r="F28" s="55">
        <v>5.2499178338906951</v>
      </c>
      <c r="G28" s="11">
        <f t="shared" si="0"/>
        <v>23.930784541280136</v>
      </c>
      <c r="H28" s="55">
        <v>2.3458098476413154</v>
      </c>
      <c r="I28" s="55">
        <v>21.584974693638813</v>
      </c>
      <c r="J28" s="55">
        <v>34.564643890000006</v>
      </c>
      <c r="K28" s="36">
        <v>1.2177137065975001</v>
      </c>
      <c r="L28" s="11">
        <f t="shared" si="1"/>
        <v>35.782357596597507</v>
      </c>
      <c r="M28" s="55">
        <v>1.4074694863174999</v>
      </c>
      <c r="N28" s="55">
        <v>1.0891984405970339</v>
      </c>
      <c r="O28" s="55">
        <v>165.77437826296236</v>
      </c>
      <c r="P28" s="152" t="s">
        <v>165</v>
      </c>
      <c r="Q28" s="157">
        <f t="shared" si="2"/>
        <v>21</v>
      </c>
      <c r="R28" s="1480" t="s">
        <v>165</v>
      </c>
      <c r="S28" s="1484">
        <v>5.01</v>
      </c>
      <c r="T28" s="172">
        <v>10.42</v>
      </c>
      <c r="U28" s="172">
        <v>0.95</v>
      </c>
      <c r="V28" s="1493">
        <v>6.41</v>
      </c>
      <c r="W28" s="1484">
        <v>22.8</v>
      </c>
      <c r="X28" s="172">
        <v>2.2000000000000002</v>
      </c>
      <c r="Y28" s="172">
        <v>20.59</v>
      </c>
      <c r="Z28" s="172">
        <v>32.799999999999997</v>
      </c>
      <c r="AA28" s="172">
        <v>0</v>
      </c>
      <c r="AB28" s="172">
        <v>1.05</v>
      </c>
      <c r="AC28" s="172">
        <v>33.85</v>
      </c>
      <c r="AD28" s="172">
        <v>1.08</v>
      </c>
      <c r="AE28" s="172">
        <v>1.61</v>
      </c>
      <c r="AF28" s="172">
        <v>164.42</v>
      </c>
      <c r="AG28" s="1444" t="s">
        <v>32</v>
      </c>
    </row>
    <row r="29" spans="1:33" ht="18.75" customHeight="1" thickTop="1">
      <c r="A29" s="10">
        <v>23</v>
      </c>
      <c r="B29" s="5" t="s">
        <v>33</v>
      </c>
      <c r="C29" s="55">
        <v>9.7395020906067096</v>
      </c>
      <c r="D29" s="55">
        <v>0.784807698991557</v>
      </c>
      <c r="E29" s="55">
        <v>0.24462654828268038</v>
      </c>
      <c r="F29" s="55">
        <v>2.4364403676864859</v>
      </c>
      <c r="G29" s="11">
        <f t="shared" si="0"/>
        <v>13.205376705567431</v>
      </c>
      <c r="H29" s="55">
        <v>1.2161644132958904</v>
      </c>
      <c r="I29" s="55">
        <v>11.989212241206728</v>
      </c>
      <c r="J29" s="55">
        <v>14.846232099864807</v>
      </c>
      <c r="K29" s="36">
        <v>1.9242764119500004</v>
      </c>
      <c r="L29" s="11">
        <f t="shared" si="1"/>
        <v>16.770508511814807</v>
      </c>
      <c r="M29" s="55">
        <v>2.6743909408763806</v>
      </c>
      <c r="N29" s="55">
        <v>0.88012772417813279</v>
      </c>
      <c r="O29" s="55">
        <v>139.87998689500913</v>
      </c>
      <c r="P29" s="152" t="s">
        <v>166</v>
      </c>
      <c r="Q29" s="171">
        <f t="shared" si="2"/>
        <v>22</v>
      </c>
      <c r="R29" s="1478" t="s">
        <v>166</v>
      </c>
      <c r="S29" s="1482">
        <v>8.8000000000000007</v>
      </c>
      <c r="T29" s="134">
        <v>0.57999999999999996</v>
      </c>
      <c r="U29" s="134">
        <v>0.28999999999999998</v>
      </c>
      <c r="V29" s="1489">
        <v>2.57</v>
      </c>
      <c r="W29" s="1482">
        <v>12.24</v>
      </c>
      <c r="X29" s="134">
        <v>1.17</v>
      </c>
      <c r="Y29" s="134">
        <v>11.07</v>
      </c>
      <c r="Z29" s="134">
        <v>14.37</v>
      </c>
      <c r="AA29" s="134">
        <v>0.13</v>
      </c>
      <c r="AB29" s="134">
        <v>2.14</v>
      </c>
      <c r="AC29" s="134">
        <v>16.63</v>
      </c>
      <c r="AD29" s="134">
        <v>2.17</v>
      </c>
      <c r="AE29" s="134">
        <v>0.99</v>
      </c>
      <c r="AF29" s="134">
        <v>150.22</v>
      </c>
      <c r="AG29" s="1445" t="s">
        <v>33</v>
      </c>
    </row>
    <row r="30" spans="1:33" ht="18.75" customHeight="1">
      <c r="A30" s="10">
        <v>24</v>
      </c>
      <c r="B30" s="5" t="s">
        <v>20</v>
      </c>
      <c r="C30" s="55">
        <v>5.2026079000000003</v>
      </c>
      <c r="D30" s="55">
        <v>0</v>
      </c>
      <c r="E30" s="55">
        <v>0.42955959999999999</v>
      </c>
      <c r="F30" s="55">
        <v>0</v>
      </c>
      <c r="G30" s="11">
        <f t="shared" si="0"/>
        <v>5.6321675000000004</v>
      </c>
      <c r="H30" s="55">
        <v>4.1098960661926416</v>
      </c>
      <c r="I30" s="55">
        <v>1.52227143380736</v>
      </c>
      <c r="J30" s="55">
        <v>0</v>
      </c>
      <c r="K30" s="36">
        <v>8.7400049999999995E-4</v>
      </c>
      <c r="L30" s="11">
        <f t="shared" si="1"/>
        <v>8.7400049999999995E-4</v>
      </c>
      <c r="M30" s="55">
        <v>1.4114632446199999E-2</v>
      </c>
      <c r="N30" s="55">
        <v>1.5072828008611596</v>
      </c>
      <c r="O30" s="55">
        <v>5.7414235108783018E-2</v>
      </c>
      <c r="P30" s="152" t="s">
        <v>167</v>
      </c>
      <c r="Q30" s="156">
        <f t="shared" si="2"/>
        <v>23</v>
      </c>
      <c r="R30" s="152" t="s">
        <v>167</v>
      </c>
      <c r="S30" s="238">
        <v>0.96</v>
      </c>
      <c r="T30" s="128">
        <v>0</v>
      </c>
      <c r="U30" s="128">
        <v>0</v>
      </c>
      <c r="V30" s="1491">
        <v>0</v>
      </c>
      <c r="W30" s="238">
        <v>0.96</v>
      </c>
      <c r="X30" s="128">
        <v>0.1</v>
      </c>
      <c r="Y30" s="128">
        <v>0.86</v>
      </c>
      <c r="Z30" s="128">
        <v>0</v>
      </c>
      <c r="AA30" s="129">
        <v>2E-3</v>
      </c>
      <c r="AB30" s="128">
        <v>0.01</v>
      </c>
      <c r="AC30" s="128">
        <v>0.01</v>
      </c>
      <c r="AD30" s="128">
        <v>0.01</v>
      </c>
      <c r="AE30" s="128">
        <v>0.85</v>
      </c>
      <c r="AF30" s="128">
        <v>0.86</v>
      </c>
      <c r="AG30" s="630" t="s">
        <v>20</v>
      </c>
    </row>
    <row r="31" spans="1:33" ht="18.75" customHeight="1">
      <c r="A31" s="10">
        <v>25</v>
      </c>
      <c r="B31" s="5" t="s">
        <v>12</v>
      </c>
      <c r="C31" s="55">
        <v>6.6651780454769192</v>
      </c>
      <c r="D31" s="55">
        <v>9.4077036516030219</v>
      </c>
      <c r="E31" s="55">
        <v>1.8884407764258602</v>
      </c>
      <c r="F31" s="55">
        <v>2.2628018023011034</v>
      </c>
      <c r="G31" s="11">
        <f t="shared" si="0"/>
        <v>20.224124275806908</v>
      </c>
      <c r="H31" s="55">
        <v>2.0224121685806908</v>
      </c>
      <c r="I31" s="55">
        <v>18.201712107226211</v>
      </c>
      <c r="J31" s="55">
        <v>13.05737921458867</v>
      </c>
      <c r="K31" s="40">
        <v>1.6744251014541285</v>
      </c>
      <c r="L31" s="11">
        <f t="shared" si="1"/>
        <v>14.731804316042798</v>
      </c>
      <c r="M31" s="55">
        <v>1.8475288128436484</v>
      </c>
      <c r="N31" s="55">
        <v>5.6568859263732998</v>
      </c>
      <c r="O31" s="55">
        <v>80.936365884322797</v>
      </c>
      <c r="P31" s="152" t="s">
        <v>168</v>
      </c>
      <c r="Q31" s="156">
        <f t="shared" si="2"/>
        <v>24</v>
      </c>
      <c r="R31" s="152" t="s">
        <v>168</v>
      </c>
      <c r="S31" s="238">
        <v>6.83</v>
      </c>
      <c r="T31" s="128">
        <v>9.0399999999999991</v>
      </c>
      <c r="U31" s="128">
        <v>1.26</v>
      </c>
      <c r="V31" s="1491">
        <v>2.4500000000000002</v>
      </c>
      <c r="W31" s="238">
        <v>19.59</v>
      </c>
      <c r="X31" s="128">
        <v>1.9</v>
      </c>
      <c r="Y31" s="128">
        <v>17.690000000000001</v>
      </c>
      <c r="Z31" s="128">
        <v>13.52</v>
      </c>
      <c r="AA31" s="128">
        <v>0.17</v>
      </c>
      <c r="AB31" s="128">
        <v>0.99</v>
      </c>
      <c r="AC31" s="128">
        <v>14.67</v>
      </c>
      <c r="AD31" s="128">
        <v>1.52</v>
      </c>
      <c r="AE31" s="128">
        <v>5.65</v>
      </c>
      <c r="AF31" s="128">
        <v>82.93</v>
      </c>
      <c r="AG31" s="630" t="s">
        <v>12</v>
      </c>
    </row>
    <row r="32" spans="1:33" ht="18.75" customHeight="1">
      <c r="A32" s="10">
        <v>26</v>
      </c>
      <c r="B32" s="5" t="s">
        <v>39</v>
      </c>
      <c r="C32" s="55">
        <v>7.5619562429175256</v>
      </c>
      <c r="D32" s="55">
        <v>1.416023592208465</v>
      </c>
      <c r="E32" s="55">
        <v>1.8786521783132895</v>
      </c>
      <c r="F32" s="55">
        <v>2.7623389144782799</v>
      </c>
      <c r="G32" s="11">
        <f t="shared" si="0"/>
        <v>13.618970927917561</v>
      </c>
      <c r="H32" s="55">
        <v>1.2518412016981963</v>
      </c>
      <c r="I32" s="55">
        <v>12.36710567528795</v>
      </c>
      <c r="J32" s="55">
        <v>7.0935787742153273</v>
      </c>
      <c r="K32" s="36">
        <v>1.000349403861291</v>
      </c>
      <c r="L32" s="11">
        <f t="shared" si="1"/>
        <v>8.0939281780766184</v>
      </c>
      <c r="M32" s="55">
        <v>1.3944446949991913</v>
      </c>
      <c r="N32" s="55">
        <v>4.2606084840811764</v>
      </c>
      <c r="O32" s="55">
        <v>65.4474906726646</v>
      </c>
      <c r="P32" s="159" t="s">
        <v>169</v>
      </c>
      <c r="Q32" s="156">
        <f t="shared" si="2"/>
        <v>25</v>
      </c>
      <c r="R32" s="159" t="s">
        <v>169</v>
      </c>
      <c r="S32" s="238">
        <v>7.5</v>
      </c>
      <c r="T32" s="128">
        <v>3.29</v>
      </c>
      <c r="U32" s="128">
        <v>1.1000000000000001</v>
      </c>
      <c r="V32" s="1491">
        <v>4.75</v>
      </c>
      <c r="W32" s="238">
        <v>16.63</v>
      </c>
      <c r="X32" s="128">
        <v>1.6</v>
      </c>
      <c r="Y32" s="128">
        <v>15.03</v>
      </c>
      <c r="Z32" s="128">
        <v>7.13</v>
      </c>
      <c r="AA32" s="128">
        <v>0.14000000000000001</v>
      </c>
      <c r="AB32" s="128">
        <v>0.73</v>
      </c>
      <c r="AC32" s="128">
        <v>8.01</v>
      </c>
      <c r="AD32" s="128">
        <v>0.74</v>
      </c>
      <c r="AE32" s="128">
        <v>7.14</v>
      </c>
      <c r="AF32" s="128">
        <v>53.32</v>
      </c>
      <c r="AG32" s="630" t="s">
        <v>39</v>
      </c>
    </row>
    <row r="33" spans="1:33" ht="18.75" customHeight="1">
      <c r="A33" s="10">
        <v>27</v>
      </c>
      <c r="B33" s="5" t="s">
        <v>34</v>
      </c>
      <c r="C33" s="55">
        <v>0.80166819999999994</v>
      </c>
      <c r="D33" s="55">
        <v>6.3342700000000002E-2</v>
      </c>
      <c r="E33" s="55">
        <v>0.4001401</v>
      </c>
      <c r="F33" s="55">
        <v>0.26053269999999995</v>
      </c>
      <c r="G33" s="11">
        <f t="shared" si="0"/>
        <v>1.5256836999999999</v>
      </c>
      <c r="H33" s="55">
        <v>0.28677130000000006</v>
      </c>
      <c r="I33" s="55">
        <v>1.2389124</v>
      </c>
      <c r="J33" s="55">
        <v>1.9696100000000001E-2</v>
      </c>
      <c r="K33" s="36">
        <v>7.7896307553392288E-2</v>
      </c>
      <c r="L33" s="11">
        <f t="shared" si="1"/>
        <v>9.7592407553392296E-2</v>
      </c>
      <c r="M33" s="55">
        <v>0.10671681915652849</v>
      </c>
      <c r="N33" s="55">
        <v>1.1124934808434714</v>
      </c>
      <c r="O33" s="55">
        <v>7.877264571199083</v>
      </c>
      <c r="P33" s="152" t="s">
        <v>170</v>
      </c>
      <c r="Q33" s="156">
        <f t="shared" si="2"/>
        <v>26</v>
      </c>
      <c r="R33" s="152" t="s">
        <v>170</v>
      </c>
      <c r="S33" s="238">
        <v>0.85</v>
      </c>
      <c r="T33" s="128">
        <v>0.06</v>
      </c>
      <c r="U33" s="128">
        <v>0.34</v>
      </c>
      <c r="V33" s="1491">
        <v>0.22</v>
      </c>
      <c r="W33" s="238">
        <v>1.47</v>
      </c>
      <c r="X33" s="128">
        <v>0.22</v>
      </c>
      <c r="Y33" s="128">
        <v>1.24</v>
      </c>
      <c r="Z33" s="128">
        <v>0.02</v>
      </c>
      <c r="AA33" s="130">
        <v>2.0000000000000001E-4</v>
      </c>
      <c r="AB33" s="128">
        <v>0.08</v>
      </c>
      <c r="AC33" s="128">
        <v>0.1</v>
      </c>
      <c r="AD33" s="128">
        <v>0.09</v>
      </c>
      <c r="AE33" s="128">
        <v>1.1399999999999999</v>
      </c>
      <c r="AF33" s="128">
        <v>7.94</v>
      </c>
      <c r="AG33" s="630" t="s">
        <v>34</v>
      </c>
    </row>
    <row r="34" spans="1:33" ht="18.75" customHeight="1">
      <c r="A34" s="10">
        <v>28</v>
      </c>
      <c r="B34" s="5" t="s">
        <v>35</v>
      </c>
      <c r="C34" s="55">
        <v>37.727175580380859</v>
      </c>
      <c r="D34" s="55">
        <v>11.673153305006885</v>
      </c>
      <c r="E34" s="55">
        <v>1.5901082360445997</v>
      </c>
      <c r="F34" s="55">
        <v>18.929526892355675</v>
      </c>
      <c r="G34" s="11">
        <f t="shared" si="0"/>
        <v>69.919964013788018</v>
      </c>
      <c r="H34" s="55">
        <v>4.5991668786705757</v>
      </c>
      <c r="I34" s="55">
        <v>65.320797135117431</v>
      </c>
      <c r="J34" s="55">
        <v>40.892095785666669</v>
      </c>
      <c r="K34" s="40">
        <v>4.9483781340114419</v>
      </c>
      <c r="L34" s="11">
        <f t="shared" si="1"/>
        <v>45.840473919678111</v>
      </c>
      <c r="M34" s="55">
        <v>5.9645319855144727</v>
      </c>
      <c r="N34" s="55">
        <v>20.362493673980563</v>
      </c>
      <c r="O34" s="55">
        <v>70.177456384765364</v>
      </c>
      <c r="P34" s="152" t="s">
        <v>171</v>
      </c>
      <c r="Q34" s="156">
        <f>Q33+1</f>
        <v>27</v>
      </c>
      <c r="R34" s="152" t="s">
        <v>171</v>
      </c>
      <c r="S34" s="238">
        <v>37.75</v>
      </c>
      <c r="T34" s="128">
        <v>13.16</v>
      </c>
      <c r="U34" s="128">
        <v>1.3</v>
      </c>
      <c r="V34" s="1491">
        <v>19.989999999999998</v>
      </c>
      <c r="W34" s="238">
        <v>72.2</v>
      </c>
      <c r="X34" s="128">
        <v>5.32</v>
      </c>
      <c r="Y34" s="128">
        <v>66.88</v>
      </c>
      <c r="Z34" s="128">
        <v>41.29</v>
      </c>
      <c r="AA34" s="128">
        <v>0</v>
      </c>
      <c r="AB34" s="128">
        <v>4.74</v>
      </c>
      <c r="AC34" s="128">
        <v>46.03</v>
      </c>
      <c r="AD34" s="128">
        <v>5.38</v>
      </c>
      <c r="AE34" s="128">
        <v>21.53</v>
      </c>
      <c r="AF34" s="128">
        <v>68.83</v>
      </c>
      <c r="AG34" s="630" t="s">
        <v>35</v>
      </c>
    </row>
    <row r="35" spans="1:33" ht="18.75" customHeight="1">
      <c r="A35" s="10">
        <v>29</v>
      </c>
      <c r="B35" s="5" t="s">
        <v>36</v>
      </c>
      <c r="C35" s="55">
        <v>1.1502840000000001</v>
      </c>
      <c r="D35" s="55">
        <v>0.93091789999999974</v>
      </c>
      <c r="E35" s="55">
        <v>9.017E-2</v>
      </c>
      <c r="F35" s="55">
        <v>0.87358729999999996</v>
      </c>
      <c r="G35" s="11">
        <f t="shared" si="0"/>
        <v>3.0449592000000001</v>
      </c>
      <c r="H35" s="55">
        <v>0.15223010000000001</v>
      </c>
      <c r="I35" s="55">
        <v>2.8927290999999999</v>
      </c>
      <c r="J35" s="55">
        <v>1.3023277999999998</v>
      </c>
      <c r="K35" s="36">
        <v>0.34149679999999993</v>
      </c>
      <c r="L35" s="11">
        <f t="shared" si="1"/>
        <v>1.6438245999999999</v>
      </c>
      <c r="M35" s="55">
        <v>0.21603399999999998</v>
      </c>
      <c r="N35" s="55">
        <v>1.2489044999999999</v>
      </c>
      <c r="O35" s="55">
        <v>56.826081640344405</v>
      </c>
      <c r="P35" s="152" t="s">
        <v>172</v>
      </c>
      <c r="Q35" s="156">
        <f t="shared" si="2"/>
        <v>28</v>
      </c>
      <c r="R35" s="152" t="s">
        <v>172</v>
      </c>
      <c r="S35" s="238">
        <v>1.29</v>
      </c>
      <c r="T35" s="128">
        <v>0.31</v>
      </c>
      <c r="U35" s="128">
        <v>0.1</v>
      </c>
      <c r="V35" s="1491">
        <v>0.32</v>
      </c>
      <c r="W35" s="238">
        <v>2.02</v>
      </c>
      <c r="X35" s="128">
        <v>0.17</v>
      </c>
      <c r="Y35" s="128">
        <v>1.85</v>
      </c>
      <c r="Z35" s="128">
        <v>0.63</v>
      </c>
      <c r="AA35" s="128">
        <v>0.09</v>
      </c>
      <c r="AB35" s="128">
        <v>0.15</v>
      </c>
      <c r="AC35" s="128">
        <v>0.87</v>
      </c>
      <c r="AD35" s="128">
        <v>0.16</v>
      </c>
      <c r="AE35" s="128">
        <v>0.98</v>
      </c>
      <c r="AF35" s="128">
        <v>46.8</v>
      </c>
      <c r="AG35" s="630" t="s">
        <v>36</v>
      </c>
    </row>
    <row r="36" spans="1:33" ht="18.75" customHeight="1">
      <c r="A36" s="10">
        <v>30</v>
      </c>
      <c r="B36" s="5" t="s">
        <v>273</v>
      </c>
      <c r="C36" s="55">
        <v>18.712430120000011</v>
      </c>
      <c r="D36" s="55">
        <v>1.5097981510115916</v>
      </c>
      <c r="E36" s="55">
        <v>5.2613097999999994</v>
      </c>
      <c r="F36" s="55">
        <v>3.8486017546862583</v>
      </c>
      <c r="G36" s="11">
        <f t="shared" si="0"/>
        <v>29.332139825697858</v>
      </c>
      <c r="H36" s="55">
        <v>2.7736727999999991</v>
      </c>
      <c r="I36" s="55">
        <v>26.558467025697826</v>
      </c>
      <c r="J36" s="55">
        <v>10.840720650519037</v>
      </c>
      <c r="K36" s="40">
        <v>1.0035643727999941</v>
      </c>
      <c r="L36" s="11">
        <f t="shared" si="1"/>
        <v>11.844285023319031</v>
      </c>
      <c r="M36" s="55">
        <v>1.5289207999999992</v>
      </c>
      <c r="N36" s="55">
        <v>14.188825575178818</v>
      </c>
      <c r="O36" s="55">
        <v>44.597020648287277</v>
      </c>
      <c r="P36" s="152" t="s">
        <v>173</v>
      </c>
      <c r="Q36" s="156">
        <f t="shared" si="2"/>
        <v>29</v>
      </c>
      <c r="R36" s="152" t="s">
        <v>173</v>
      </c>
      <c r="S36" s="238">
        <v>18.71</v>
      </c>
      <c r="T36" s="128">
        <v>1.51</v>
      </c>
      <c r="U36" s="128">
        <v>5.26</v>
      </c>
      <c r="V36" s="1491">
        <v>3.85</v>
      </c>
      <c r="W36" s="238">
        <v>29.33</v>
      </c>
      <c r="X36" s="128">
        <v>2.77</v>
      </c>
      <c r="Y36" s="128">
        <v>26.56</v>
      </c>
      <c r="Z36" s="128">
        <v>10.84</v>
      </c>
      <c r="AA36" s="128">
        <v>0.27</v>
      </c>
      <c r="AB36" s="128">
        <v>0.73</v>
      </c>
      <c r="AC36" s="128">
        <v>11.84</v>
      </c>
      <c r="AD36" s="128">
        <v>1.53</v>
      </c>
      <c r="AE36" s="128">
        <v>14.19</v>
      </c>
      <c r="AF36" s="128">
        <v>44.6</v>
      </c>
      <c r="AG36" s="630" t="s">
        <v>273</v>
      </c>
    </row>
    <row r="37" spans="1:33" s="6" customFormat="1" ht="21" customHeight="1">
      <c r="A37" s="2544" t="s">
        <v>126</v>
      </c>
      <c r="B37" s="2545"/>
      <c r="C37" s="57">
        <f>SUM(C8:C36)</f>
        <v>250.36824738360781</v>
      </c>
      <c r="D37" s="57">
        <f>SUM(D8:D36)</f>
        <v>65.910497976906299</v>
      </c>
      <c r="E37" s="57">
        <f>SUM(E8:E36)</f>
        <v>35.415626353788468</v>
      </c>
      <c r="F37" s="57">
        <f>SUM(F8:F36)</f>
        <v>76.544974652300496</v>
      </c>
      <c r="G37" s="13">
        <f t="shared" si="0"/>
        <v>428.23934636660306</v>
      </c>
      <c r="H37" s="57">
        <f>SUM(H8:H36)</f>
        <v>38.796760983051655</v>
      </c>
      <c r="I37" s="57">
        <f>SUM(I8:I36)</f>
        <v>389.44370885510386</v>
      </c>
      <c r="J37" s="57">
        <f>SUM(J8:J36)</f>
        <v>221.13425378239845</v>
      </c>
      <c r="K37" s="39">
        <v>27.146962169107002</v>
      </c>
      <c r="L37" s="13">
        <f t="shared" si="1"/>
        <v>248.28121595150546</v>
      </c>
      <c r="M37" s="57">
        <f>SUM(M8:M36)</f>
        <v>31.023186622124427</v>
      </c>
      <c r="N37" s="57">
        <f>SUM(N8:N36)</f>
        <v>170.97178500996935</v>
      </c>
      <c r="O37" s="57">
        <f>L37/H37*100</f>
        <v>639.95346431102064</v>
      </c>
      <c r="P37" s="160" t="s">
        <v>214</v>
      </c>
      <c r="Q37" s="2567" t="s">
        <v>214</v>
      </c>
      <c r="R37" s="2546"/>
      <c r="S37" s="1485">
        <f>SUM(S8:S36)</f>
        <v>248.37</v>
      </c>
      <c r="T37" s="57">
        <f t="shared" ref="T37:AE37" si="3">SUM(T8:T36)</f>
        <v>71.321000000000012</v>
      </c>
      <c r="U37" s="57">
        <f t="shared" si="3"/>
        <v>29.407000000000004</v>
      </c>
      <c r="V37" s="148">
        <f t="shared" si="3"/>
        <v>81.504000000000005</v>
      </c>
      <c r="W37" s="1485">
        <f t="shared" si="3"/>
        <v>430.6099999999999</v>
      </c>
      <c r="X37" s="57">
        <f t="shared" si="3"/>
        <v>37.960000000000008</v>
      </c>
      <c r="Y37" s="57">
        <f t="shared" si="3"/>
        <v>392.65999999999997</v>
      </c>
      <c r="Z37" s="57">
        <f t="shared" si="3"/>
        <v>217.28800000000001</v>
      </c>
      <c r="AA37" s="57">
        <f t="shared" si="3"/>
        <v>2.7599299999999998</v>
      </c>
      <c r="AB37" s="57">
        <f t="shared" si="3"/>
        <v>23.7</v>
      </c>
      <c r="AC37" s="57">
        <f t="shared" si="3"/>
        <v>243.74999999999994</v>
      </c>
      <c r="AD37" s="57">
        <f t="shared" si="3"/>
        <v>28.160000000000004</v>
      </c>
      <c r="AE37" s="57">
        <f t="shared" si="3"/>
        <v>180.77999999999997</v>
      </c>
      <c r="AF37" s="123">
        <f>AC37/Y37*100</f>
        <v>62.076605714867817</v>
      </c>
      <c r="AG37" s="163" t="s">
        <v>126</v>
      </c>
    </row>
    <row r="38" spans="1:33" ht="18.75" customHeight="1">
      <c r="A38" s="2544" t="s">
        <v>118</v>
      </c>
      <c r="B38" s="2546"/>
      <c r="C38" s="55"/>
      <c r="D38" s="55"/>
      <c r="E38" s="55"/>
      <c r="F38" s="55"/>
      <c r="G38" s="11"/>
      <c r="H38" s="55"/>
      <c r="I38" s="55"/>
      <c r="J38" s="55"/>
      <c r="K38" s="36"/>
      <c r="L38" s="11"/>
      <c r="M38" s="55"/>
      <c r="N38" s="55"/>
      <c r="O38" s="55"/>
      <c r="P38" s="161" t="s">
        <v>128</v>
      </c>
      <c r="Q38" s="2567" t="s">
        <v>128</v>
      </c>
      <c r="R38" s="2546"/>
      <c r="S38" s="768"/>
      <c r="T38" s="55"/>
      <c r="U38" s="55"/>
      <c r="V38" s="147"/>
      <c r="W38" s="1486"/>
      <c r="X38" s="55"/>
      <c r="Y38" s="55"/>
      <c r="Z38" s="55"/>
      <c r="AA38" s="36"/>
      <c r="AB38" s="11"/>
      <c r="AC38" s="55"/>
      <c r="AD38" s="55"/>
      <c r="AE38" s="55"/>
      <c r="AF38" s="54"/>
      <c r="AG38" s="164" t="s">
        <v>118</v>
      </c>
    </row>
    <row r="39" spans="1:33" ht="30" customHeight="1">
      <c r="A39" s="10">
        <v>31</v>
      </c>
      <c r="B39" s="12" t="s">
        <v>272</v>
      </c>
      <c r="C39" s="55">
        <v>0.34993447279999995</v>
      </c>
      <c r="D39" s="55">
        <v>1.9559232000000002E-4</v>
      </c>
      <c r="E39" s="55">
        <v>1.8239352800000001E-2</v>
      </c>
      <c r="F39" s="55">
        <v>4.8898080000000004E-5</v>
      </c>
      <c r="G39" s="11">
        <f>C39+D39+E39+F39</f>
        <v>0.36841831599999997</v>
      </c>
      <c r="H39" s="55">
        <v>3.6841831600000007E-2</v>
      </c>
      <c r="I39" s="55">
        <v>0.33157648439999998</v>
      </c>
      <c r="J39" s="55">
        <v>1.4785999999999998E-4</v>
      </c>
      <c r="K39" s="36">
        <v>8.9338975274300004E-3</v>
      </c>
      <c r="L39" s="11">
        <f>J39+K39</f>
        <v>9.08175752743E-3</v>
      </c>
      <c r="M39" s="55">
        <v>7.1119602125000016E-3</v>
      </c>
      <c r="N39" s="55">
        <v>0.32131523562502001</v>
      </c>
      <c r="O39" s="55">
        <v>2.7389630913856209</v>
      </c>
      <c r="P39" s="152" t="s">
        <v>174</v>
      </c>
      <c r="Q39" s="156">
        <f>30</f>
        <v>30</v>
      </c>
      <c r="R39" s="152" t="s">
        <v>174</v>
      </c>
      <c r="S39" s="238">
        <v>0.32</v>
      </c>
      <c r="T39" s="130">
        <v>2.0000000000000001E-4</v>
      </c>
      <c r="U39" s="128">
        <v>0</v>
      </c>
      <c r="V39" s="1494">
        <v>1E-4</v>
      </c>
      <c r="W39" s="238">
        <v>0.32</v>
      </c>
      <c r="X39" s="128">
        <v>0.03</v>
      </c>
      <c r="Y39" s="128">
        <v>0.28000000000000003</v>
      </c>
      <c r="Z39" s="130">
        <v>1E-4</v>
      </c>
      <c r="AA39" s="129">
        <v>1E-3</v>
      </c>
      <c r="AB39" s="128">
        <v>0.01</v>
      </c>
      <c r="AC39" s="128">
        <v>0.01</v>
      </c>
      <c r="AD39" s="128">
        <v>0.01</v>
      </c>
      <c r="AE39" s="128">
        <v>0.28000000000000003</v>
      </c>
      <c r="AF39" s="128">
        <v>2.6</v>
      </c>
      <c r="AG39" s="862" t="s">
        <v>272</v>
      </c>
    </row>
    <row r="40" spans="1:33" ht="18.75" customHeight="1">
      <c r="A40" s="10">
        <v>32</v>
      </c>
      <c r="B40" s="5" t="s">
        <v>38</v>
      </c>
      <c r="C40" s="55">
        <v>1.6310000000000002E-2</v>
      </c>
      <c r="D40" s="55">
        <v>6.8700000000000002E-3</v>
      </c>
      <c r="E40" s="55">
        <v>4.8799999999999998E-3</v>
      </c>
      <c r="F40" s="55">
        <v>1.41E-2</v>
      </c>
      <c r="G40" s="11">
        <f t="shared" ref="G40:G48" si="4">C40+D40+E40+F40</f>
        <v>4.2160000000000003E-2</v>
      </c>
      <c r="H40" s="55">
        <v>4.2199999999999998E-3</v>
      </c>
      <c r="I40" s="55">
        <v>3.7940000000000002E-2</v>
      </c>
      <c r="J40" s="55">
        <v>5.8E-4</v>
      </c>
      <c r="K40" s="36">
        <v>3.32E-2</v>
      </c>
      <c r="L40" s="11">
        <f t="shared" ref="L40:L48" si="5">J40+K40</f>
        <v>3.3779999999999998E-2</v>
      </c>
      <c r="M40" s="55">
        <v>3.32E-2</v>
      </c>
      <c r="N40" s="55">
        <v>4.1599999999999996E-3</v>
      </c>
      <c r="O40" s="55">
        <v>89</v>
      </c>
      <c r="P40" s="152" t="s">
        <v>175</v>
      </c>
      <c r="Q40" s="156">
        <f>Q39+1</f>
        <v>31</v>
      </c>
      <c r="R40" s="152" t="s">
        <v>175</v>
      </c>
      <c r="S40" s="238">
        <v>0.01</v>
      </c>
      <c r="T40" s="128">
        <v>0.02</v>
      </c>
      <c r="U40" s="129">
        <v>5.0000000000000001E-3</v>
      </c>
      <c r="V40" s="1491">
        <v>0.03</v>
      </c>
      <c r="W40" s="238">
        <v>0.06</v>
      </c>
      <c r="X40" s="128">
        <v>0.01</v>
      </c>
      <c r="Y40" s="128">
        <v>0.06</v>
      </c>
      <c r="Z40" s="128">
        <v>0.01</v>
      </c>
      <c r="AA40" s="129">
        <v>2E-3</v>
      </c>
      <c r="AB40" s="128">
        <v>0.03</v>
      </c>
      <c r="AC40" s="128">
        <v>0.05</v>
      </c>
      <c r="AD40" s="128">
        <v>0.03</v>
      </c>
      <c r="AE40" s="128">
        <v>0.01</v>
      </c>
      <c r="AF40" s="128">
        <v>80.599999999999994</v>
      </c>
      <c r="AG40" s="630" t="s">
        <v>38</v>
      </c>
    </row>
    <row r="41" spans="1:33" ht="30.75" customHeight="1">
      <c r="A41" s="10">
        <v>33</v>
      </c>
      <c r="B41" s="12" t="s">
        <v>127</v>
      </c>
      <c r="C41" s="55">
        <v>5.7371999999999999E-2</v>
      </c>
      <c r="D41" s="55">
        <v>1.3756999999999999E-3</v>
      </c>
      <c r="E41" s="55">
        <v>3.3E-3</v>
      </c>
      <c r="F41" s="55">
        <v>6.5682000000000006E-3</v>
      </c>
      <c r="G41" s="11">
        <f t="shared" si="4"/>
        <v>6.8615899999999994E-2</v>
      </c>
      <c r="H41" s="55">
        <v>3.4299999999999999E-3</v>
      </c>
      <c r="I41" s="55">
        <v>6.5185899999999991E-2</v>
      </c>
      <c r="J41" s="55">
        <v>7.5046000000000002E-3</v>
      </c>
      <c r="K41" s="36">
        <v>1.2924000000000001E-2</v>
      </c>
      <c r="L41" s="11">
        <f t="shared" si="5"/>
        <v>2.0428600000000002E-2</v>
      </c>
      <c r="M41" s="55">
        <v>1.2924000000000001E-2</v>
      </c>
      <c r="N41" s="55">
        <v>4.4757299999999993E-2</v>
      </c>
      <c r="O41" s="55">
        <v>31.338985884984332</v>
      </c>
      <c r="P41" s="152" t="s">
        <v>176</v>
      </c>
      <c r="Q41" s="156">
        <f t="shared" ref="Q41:Q46" si="6">Q40+1</f>
        <v>32</v>
      </c>
      <c r="R41" s="152" t="s">
        <v>176</v>
      </c>
      <c r="S41" s="238">
        <v>0.04</v>
      </c>
      <c r="T41" s="128">
        <v>0.01</v>
      </c>
      <c r="U41" s="129">
        <v>3.0000000000000001E-3</v>
      </c>
      <c r="V41" s="1491">
        <v>0.02</v>
      </c>
      <c r="W41" s="238">
        <v>7.0000000000000007E-2</v>
      </c>
      <c r="X41" s="129">
        <v>5.0000000000000001E-3</v>
      </c>
      <c r="Y41" s="128">
        <v>7.0000000000000007E-2</v>
      </c>
      <c r="Z41" s="128">
        <v>0.01</v>
      </c>
      <c r="AA41" s="128">
        <v>0.01</v>
      </c>
      <c r="AB41" s="128">
        <v>0.02</v>
      </c>
      <c r="AC41" s="128">
        <v>0.03</v>
      </c>
      <c r="AD41" s="128">
        <v>0.02</v>
      </c>
      <c r="AE41" s="128">
        <v>0.03</v>
      </c>
      <c r="AF41" s="128">
        <v>45.99</v>
      </c>
      <c r="AG41" s="862" t="s">
        <v>127</v>
      </c>
    </row>
    <row r="42" spans="1:33" ht="18.75" customHeight="1">
      <c r="A42" s="10">
        <v>34</v>
      </c>
      <c r="B42" s="5" t="s">
        <v>4</v>
      </c>
      <c r="C42" s="55">
        <v>1.584E-2</v>
      </c>
      <c r="D42" s="55">
        <v>5.8E-4</v>
      </c>
      <c r="E42" s="55">
        <v>0</v>
      </c>
      <c r="F42" s="55">
        <v>1.33E-3</v>
      </c>
      <c r="G42" s="11">
        <f t="shared" si="4"/>
        <v>1.7750000000000002E-2</v>
      </c>
      <c r="H42" s="55">
        <v>1.1199999999999999E-3</v>
      </c>
      <c r="I42" s="55">
        <v>1.6629999999999999E-2</v>
      </c>
      <c r="J42" s="55">
        <v>7.2899999999999996E-3</v>
      </c>
      <c r="K42" s="36">
        <v>2.9199999999999999E-3</v>
      </c>
      <c r="L42" s="11">
        <f t="shared" si="5"/>
        <v>1.021E-2</v>
      </c>
      <c r="M42" s="55">
        <v>4.0400000000000002E-3</v>
      </c>
      <c r="N42" s="55">
        <v>4.8599999999999997E-3</v>
      </c>
      <c r="O42" s="55">
        <v>61.395069152134695</v>
      </c>
      <c r="P42" s="152" t="s">
        <v>177</v>
      </c>
      <c r="Q42" s="156">
        <f t="shared" si="6"/>
        <v>33</v>
      </c>
      <c r="R42" s="152" t="s">
        <v>177</v>
      </c>
      <c r="S42" s="238">
        <v>0.03</v>
      </c>
      <c r="T42" s="130">
        <v>5.0000000000000001E-4</v>
      </c>
      <c r="U42" s="128">
        <v>0</v>
      </c>
      <c r="V42" s="1490">
        <v>1E-3</v>
      </c>
      <c r="W42" s="238">
        <v>0.03</v>
      </c>
      <c r="X42" s="129">
        <v>1E-3</v>
      </c>
      <c r="Y42" s="128">
        <v>0.03</v>
      </c>
      <c r="Z42" s="129">
        <v>3.0000000000000001E-3</v>
      </c>
      <c r="AA42" s="128">
        <v>0.03</v>
      </c>
      <c r="AB42" s="128">
        <v>0</v>
      </c>
      <c r="AC42" s="128">
        <v>0.03</v>
      </c>
      <c r="AD42" s="128">
        <v>0.02</v>
      </c>
      <c r="AE42" s="130">
        <v>2.0000000000000001E-4</v>
      </c>
      <c r="AF42" s="128">
        <v>113.38</v>
      </c>
      <c r="AG42" s="630" t="s">
        <v>4</v>
      </c>
    </row>
    <row r="43" spans="1:33" ht="32.25" customHeight="1">
      <c r="A43" s="10"/>
      <c r="B43" s="5"/>
      <c r="C43" s="55"/>
      <c r="D43" s="55"/>
      <c r="E43" s="55"/>
      <c r="F43" s="55"/>
      <c r="G43" s="11"/>
      <c r="H43" s="55"/>
      <c r="I43" s="55"/>
      <c r="J43" s="55"/>
      <c r="K43" s="36"/>
      <c r="L43" s="11"/>
      <c r="M43" s="55"/>
      <c r="N43" s="55"/>
      <c r="O43" s="55"/>
      <c r="P43" s="152"/>
      <c r="Q43" s="156">
        <f t="shared" si="6"/>
        <v>34</v>
      </c>
      <c r="R43" s="105" t="s">
        <v>154</v>
      </c>
      <c r="S43" s="238">
        <v>0.8</v>
      </c>
      <c r="T43" s="128">
        <v>2.04</v>
      </c>
      <c r="U43" s="128">
        <v>0.95</v>
      </c>
      <c r="V43" s="1491">
        <v>0.88</v>
      </c>
      <c r="W43" s="238">
        <v>4.68</v>
      </c>
      <c r="X43" s="128">
        <v>0.46</v>
      </c>
      <c r="Y43" s="128">
        <v>4.22</v>
      </c>
      <c r="Z43" s="128">
        <v>0.2</v>
      </c>
      <c r="AA43" s="128">
        <v>0.13</v>
      </c>
      <c r="AB43" s="128">
        <v>0.56000000000000005</v>
      </c>
      <c r="AC43" s="128">
        <v>0.89</v>
      </c>
      <c r="AD43" s="128">
        <v>0.56999999999999995</v>
      </c>
      <c r="AE43" s="128">
        <v>3.32</v>
      </c>
      <c r="AF43" s="128">
        <v>21.03</v>
      </c>
      <c r="AG43" s="1672" t="s">
        <v>648</v>
      </c>
    </row>
    <row r="44" spans="1:33" ht="18.75" customHeight="1">
      <c r="A44" s="10"/>
      <c r="B44" s="5"/>
      <c r="C44" s="55"/>
      <c r="D44" s="55"/>
      <c r="E44" s="55"/>
      <c r="F44" s="55"/>
      <c r="G44" s="11"/>
      <c r="H44" s="55"/>
      <c r="I44" s="55"/>
      <c r="J44" s="55"/>
      <c r="K44" s="36"/>
      <c r="L44" s="11"/>
      <c r="M44" s="55"/>
      <c r="N44" s="55"/>
      <c r="O44" s="55"/>
      <c r="P44" s="152"/>
      <c r="Q44" s="156">
        <f t="shared" si="6"/>
        <v>35</v>
      </c>
      <c r="R44" s="152" t="s">
        <v>651</v>
      </c>
      <c r="S44" s="238">
        <v>0.01</v>
      </c>
      <c r="T44" s="128">
        <v>0.05</v>
      </c>
      <c r="U44" s="128">
        <v>0.02</v>
      </c>
      <c r="V44" s="1491">
        <v>0.04</v>
      </c>
      <c r="W44" s="238">
        <v>0.12</v>
      </c>
      <c r="X44" s="128">
        <v>0.01</v>
      </c>
      <c r="Y44" s="128">
        <v>0.11</v>
      </c>
      <c r="Z44" s="129">
        <v>1E-3</v>
      </c>
      <c r="AA44" s="130">
        <v>2.0000000000000001E-4</v>
      </c>
      <c r="AB44" s="128">
        <v>0.02</v>
      </c>
      <c r="AC44" s="128">
        <v>0.02</v>
      </c>
      <c r="AD44" s="128">
        <v>0.02</v>
      </c>
      <c r="AE44" s="128">
        <v>0.09</v>
      </c>
      <c r="AF44" s="128">
        <v>17.899999999999999</v>
      </c>
      <c r="AG44" s="630" t="s">
        <v>649</v>
      </c>
    </row>
    <row r="45" spans="1:33" ht="18.75" customHeight="1">
      <c r="A45" s="10">
        <v>35</v>
      </c>
      <c r="B45" s="5" t="s">
        <v>7</v>
      </c>
      <c r="C45" s="55">
        <v>9.0910000000000001E-3</v>
      </c>
      <c r="D45" s="55">
        <v>0</v>
      </c>
      <c r="E45" s="55">
        <v>1.6370000000000002E-3</v>
      </c>
      <c r="F45" s="55">
        <v>0</v>
      </c>
      <c r="G45" s="11">
        <f t="shared" si="4"/>
        <v>1.0728E-2</v>
      </c>
      <c r="H45" s="55">
        <v>7.1200000000000013E-3</v>
      </c>
      <c r="I45" s="58">
        <v>3.6079999999999997E-3</v>
      </c>
      <c r="J45" s="55">
        <v>0</v>
      </c>
      <c r="K45" s="36">
        <v>2.3809999999999999E-3</v>
      </c>
      <c r="L45" s="11">
        <f t="shared" si="5"/>
        <v>2.3809999999999999E-3</v>
      </c>
      <c r="M45" s="55">
        <v>2.3809999999999999E-3</v>
      </c>
      <c r="N45" s="55">
        <v>1.2281000000000002E-3</v>
      </c>
      <c r="O45" s="55">
        <v>65.992239467849231</v>
      </c>
      <c r="P45" s="152" t="s">
        <v>178</v>
      </c>
      <c r="Q45" s="156">
        <f t="shared" si="6"/>
        <v>36</v>
      </c>
      <c r="R45" s="152" t="s">
        <v>178</v>
      </c>
      <c r="S45" s="239">
        <v>1.0999999999999999E-2</v>
      </c>
      <c r="T45" s="128">
        <v>0</v>
      </c>
      <c r="U45" s="129">
        <v>2E-3</v>
      </c>
      <c r="V45" s="1491">
        <v>0</v>
      </c>
      <c r="W45" s="238">
        <v>0.01</v>
      </c>
      <c r="X45" s="128">
        <v>0.01</v>
      </c>
      <c r="Y45" s="129">
        <v>5.0000000000000001E-3</v>
      </c>
      <c r="Z45" s="128">
        <v>0</v>
      </c>
      <c r="AA45" s="128">
        <v>0</v>
      </c>
      <c r="AB45" s="129">
        <v>3.0000000000000001E-3</v>
      </c>
      <c r="AC45" s="129">
        <v>3.0000000000000001E-3</v>
      </c>
      <c r="AD45" s="129">
        <v>5.0000000000000001E-3</v>
      </c>
      <c r="AE45" s="129">
        <v>2E-3</v>
      </c>
      <c r="AF45" s="128">
        <v>58.47</v>
      </c>
      <c r="AG45" s="630" t="s">
        <v>7</v>
      </c>
    </row>
    <row r="46" spans="1:33" ht="18.75" customHeight="1">
      <c r="A46" s="10">
        <v>36</v>
      </c>
      <c r="B46" s="5" t="s">
        <v>10</v>
      </c>
      <c r="C46" s="55">
        <v>9.2541800000000007E-2</v>
      </c>
      <c r="D46" s="55">
        <v>6.8188399999999996E-2</v>
      </c>
      <c r="E46" s="55">
        <v>2.0079099999999999E-2</v>
      </c>
      <c r="F46" s="55">
        <v>4.55225E-2</v>
      </c>
      <c r="G46" s="11">
        <f t="shared" si="4"/>
        <v>0.22633179999999997</v>
      </c>
      <c r="H46" s="55">
        <v>2.263308E-2</v>
      </c>
      <c r="I46" s="55">
        <v>0.20369869999999998</v>
      </c>
      <c r="J46" s="55">
        <v>0.10954649999999999</v>
      </c>
      <c r="K46" s="36">
        <v>4.1861700000000002E-2</v>
      </c>
      <c r="L46" s="11">
        <f t="shared" si="5"/>
        <v>0.15140819999999999</v>
      </c>
      <c r="M46" s="55">
        <v>4.2328599999999994E-2</v>
      </c>
      <c r="N46" s="55">
        <v>5.4738400000000013E-2</v>
      </c>
      <c r="O46" s="55">
        <v>74.329487620686834</v>
      </c>
      <c r="P46" s="152" t="s">
        <v>179</v>
      </c>
      <c r="Q46" s="156">
        <f t="shared" si="6"/>
        <v>37</v>
      </c>
      <c r="R46" s="152" t="s">
        <v>179</v>
      </c>
      <c r="S46" s="1483">
        <v>0.06</v>
      </c>
      <c r="T46" s="170">
        <v>0.1</v>
      </c>
      <c r="U46" s="170">
        <v>0.01</v>
      </c>
      <c r="V46" s="1492">
        <v>0.05</v>
      </c>
      <c r="W46" s="238">
        <v>0.22</v>
      </c>
      <c r="X46" s="128">
        <v>0.02</v>
      </c>
      <c r="Y46" s="128">
        <v>0.2</v>
      </c>
      <c r="Z46" s="128">
        <v>0.1</v>
      </c>
      <c r="AA46" s="128">
        <v>0.01</v>
      </c>
      <c r="AB46" s="128">
        <v>0.05</v>
      </c>
      <c r="AC46" s="128">
        <v>0.15</v>
      </c>
      <c r="AD46" s="128">
        <v>0.05</v>
      </c>
      <c r="AE46" s="128">
        <v>0.05</v>
      </c>
      <c r="AF46" s="128">
        <v>74.27</v>
      </c>
      <c r="AG46" s="630" t="s">
        <v>10</v>
      </c>
    </row>
    <row r="47" spans="1:33" s="6" customFormat="1" ht="20.25" customHeight="1">
      <c r="A47" s="2541" t="s">
        <v>118</v>
      </c>
      <c r="B47" s="2541"/>
      <c r="C47" s="57">
        <f>SUM(C39:C46)</f>
        <v>0.54108927279999997</v>
      </c>
      <c r="D47" s="57">
        <f t="shared" ref="D47:F47" si="7">SUM(D39:D46)</f>
        <v>7.7209692319999995E-2</v>
      </c>
      <c r="E47" s="57">
        <f t="shared" si="7"/>
        <v>4.8135452799999999E-2</v>
      </c>
      <c r="F47" s="57">
        <f t="shared" si="7"/>
        <v>6.7569598080000001E-2</v>
      </c>
      <c r="G47" s="13">
        <f t="shared" si="4"/>
        <v>0.73400401599999987</v>
      </c>
      <c r="H47" s="57">
        <f t="shared" ref="H47:J47" si="8">SUM(H39:H46)</f>
        <v>7.5364911600000015E-2</v>
      </c>
      <c r="I47" s="57">
        <f t="shared" si="8"/>
        <v>0.65863908439999996</v>
      </c>
      <c r="J47" s="57">
        <f t="shared" si="8"/>
        <v>0.12506895999999998</v>
      </c>
      <c r="K47" s="39">
        <v>0.10222059752743001</v>
      </c>
      <c r="L47" s="13">
        <f t="shared" si="5"/>
        <v>0.22728955752742999</v>
      </c>
      <c r="M47" s="57">
        <f t="shared" ref="M47:N47" si="9">SUM(M39:M46)</f>
        <v>0.10198556021249999</v>
      </c>
      <c r="N47" s="57">
        <f t="shared" si="9"/>
        <v>0.43105903562502002</v>
      </c>
      <c r="O47" s="57">
        <f>L47/H47*100</f>
        <v>301.58538330645365</v>
      </c>
      <c r="P47" s="162" t="s">
        <v>128</v>
      </c>
      <c r="Q47" s="2568" t="s">
        <v>773</v>
      </c>
      <c r="R47" s="2541"/>
      <c r="S47" s="1487">
        <f>SUM(S39:S46)</f>
        <v>1.2810000000000001</v>
      </c>
      <c r="T47" s="1487">
        <f t="shared" ref="T47:AE47" si="10">SUM(T39:T46)</f>
        <v>2.2206999999999999</v>
      </c>
      <c r="U47" s="1487">
        <f t="shared" si="10"/>
        <v>0.99</v>
      </c>
      <c r="V47" s="1487">
        <f t="shared" si="10"/>
        <v>1.0211000000000001</v>
      </c>
      <c r="W47" s="57">
        <f t="shared" si="10"/>
        <v>5.51</v>
      </c>
      <c r="X47" s="57">
        <f t="shared" si="10"/>
        <v>0.54600000000000004</v>
      </c>
      <c r="Y47" s="57">
        <f t="shared" si="10"/>
        <v>4.9750000000000005</v>
      </c>
      <c r="Z47" s="57">
        <f t="shared" si="10"/>
        <v>0.32410000000000005</v>
      </c>
      <c r="AA47" s="57">
        <f t="shared" si="10"/>
        <v>0.1832</v>
      </c>
      <c r="AB47" s="57">
        <f t="shared" si="10"/>
        <v>0.69300000000000017</v>
      </c>
      <c r="AC47" s="57">
        <f t="shared" si="10"/>
        <v>1.1829999999999998</v>
      </c>
      <c r="AD47" s="57">
        <f t="shared" si="10"/>
        <v>0.72499999999999998</v>
      </c>
      <c r="AE47" s="57">
        <f t="shared" si="10"/>
        <v>3.7821999999999996</v>
      </c>
      <c r="AF47" s="122">
        <f>AC47/Y47*100</f>
        <v>23.778894472361802</v>
      </c>
      <c r="AG47" s="165" t="s">
        <v>118</v>
      </c>
    </row>
    <row r="48" spans="1:33" s="6" customFormat="1" ht="20.25" customHeight="1">
      <c r="A48" s="2541" t="s">
        <v>50</v>
      </c>
      <c r="B48" s="2541"/>
      <c r="C48" s="57">
        <f>C37+C47</f>
        <v>250.90933665640782</v>
      </c>
      <c r="D48" s="57">
        <f t="shared" ref="D48:F48" si="11">D37+D47</f>
        <v>65.987707669226296</v>
      </c>
      <c r="E48" s="57">
        <f t="shared" si="11"/>
        <v>35.463761806588465</v>
      </c>
      <c r="F48" s="57">
        <f t="shared" si="11"/>
        <v>76.612544250380495</v>
      </c>
      <c r="G48" s="13">
        <f t="shared" si="4"/>
        <v>428.97335038260309</v>
      </c>
      <c r="H48" s="57">
        <f t="shared" ref="H48:J48" si="12">H37+H47</f>
        <v>38.872125894651653</v>
      </c>
      <c r="I48" s="57">
        <f>I37+I47</f>
        <v>390.10234793950389</v>
      </c>
      <c r="J48" s="57">
        <f t="shared" si="12"/>
        <v>221.25932274239844</v>
      </c>
      <c r="K48" s="39">
        <v>27.24918276663443</v>
      </c>
      <c r="L48" s="13">
        <f t="shared" si="5"/>
        <v>248.50850550903286</v>
      </c>
      <c r="M48" s="57">
        <f t="shared" ref="M48:N48" si="13">M37+M47</f>
        <v>31.125172182336929</v>
      </c>
      <c r="N48" s="57">
        <f t="shared" si="13"/>
        <v>171.40284404559438</v>
      </c>
      <c r="O48" s="57">
        <f>L48/I48*100</f>
        <v>63.703411892196804</v>
      </c>
      <c r="P48" s="162" t="s">
        <v>132</v>
      </c>
      <c r="Q48" s="2568" t="s">
        <v>774</v>
      </c>
      <c r="R48" s="2541"/>
      <c r="S48" s="57">
        <f>SUM(S37+S47)</f>
        <v>249.65100000000001</v>
      </c>
      <c r="T48" s="57">
        <f t="shared" ref="T48:AE48" si="14">SUM(T37+T47)</f>
        <v>73.541700000000006</v>
      </c>
      <c r="U48" s="57">
        <f t="shared" si="14"/>
        <v>30.397000000000002</v>
      </c>
      <c r="V48" s="57">
        <f t="shared" si="14"/>
        <v>82.525100000000009</v>
      </c>
      <c r="W48" s="57">
        <f t="shared" si="14"/>
        <v>436.11999999999989</v>
      </c>
      <c r="X48" s="57">
        <f t="shared" si="14"/>
        <v>38.506000000000007</v>
      </c>
      <c r="Y48" s="57">
        <f t="shared" si="14"/>
        <v>397.63499999999999</v>
      </c>
      <c r="Z48" s="57">
        <f t="shared" si="14"/>
        <v>217.6121</v>
      </c>
      <c r="AA48" s="57">
        <f t="shared" si="14"/>
        <v>2.9431299999999996</v>
      </c>
      <c r="AB48" s="57">
        <f t="shared" si="14"/>
        <v>24.393000000000001</v>
      </c>
      <c r="AC48" s="57">
        <f t="shared" si="14"/>
        <v>244.93299999999994</v>
      </c>
      <c r="AD48" s="57">
        <f t="shared" si="14"/>
        <v>28.885000000000005</v>
      </c>
      <c r="AE48" s="57">
        <f t="shared" si="14"/>
        <v>184.56219999999996</v>
      </c>
      <c r="AF48" s="122">
        <f>AC48/Y48*100</f>
        <v>61.597444892929431</v>
      </c>
      <c r="AG48" s="165" t="s">
        <v>50</v>
      </c>
    </row>
    <row r="49" spans="1:33" s="7" customFormat="1" ht="20.100000000000001" customHeight="1">
      <c r="A49" s="14" t="s">
        <v>278</v>
      </c>
      <c r="B49" s="18"/>
      <c r="C49" s="15"/>
      <c r="D49" s="15"/>
      <c r="E49" s="15"/>
      <c r="F49" s="15"/>
      <c r="G49" s="15"/>
      <c r="H49" s="15"/>
      <c r="I49" s="15"/>
      <c r="J49" s="15"/>
      <c r="K49" s="15"/>
      <c r="L49" s="15"/>
      <c r="M49" s="15"/>
      <c r="N49" s="15"/>
      <c r="O49" s="16"/>
      <c r="P49" s="15"/>
      <c r="Q49" s="166" t="s">
        <v>775</v>
      </c>
      <c r="R49" s="18"/>
      <c r="S49" s="15"/>
      <c r="T49" s="15"/>
      <c r="U49" s="15"/>
      <c r="V49" s="15"/>
      <c r="W49" s="15"/>
      <c r="X49" s="15"/>
      <c r="Y49" s="15"/>
      <c r="Z49" s="15"/>
      <c r="AA49" s="15"/>
      <c r="AB49" s="15"/>
      <c r="AC49" s="15"/>
      <c r="AD49" s="15"/>
      <c r="AE49" s="16"/>
      <c r="AF49" s="15"/>
      <c r="AG49" s="1137"/>
    </row>
    <row r="50" spans="1:33" s="7" customFormat="1" ht="20.100000000000001" customHeight="1">
      <c r="A50" s="17" t="s">
        <v>279</v>
      </c>
      <c r="B50" s="18"/>
      <c r="C50" s="15"/>
      <c r="D50" s="15"/>
      <c r="E50" s="15"/>
      <c r="F50" s="15"/>
      <c r="G50" s="15"/>
      <c r="H50" s="15"/>
      <c r="I50" s="15"/>
      <c r="J50" s="15"/>
      <c r="K50" s="15"/>
      <c r="L50" s="15"/>
      <c r="M50" s="2540" t="s">
        <v>119</v>
      </c>
      <c r="N50" s="2540"/>
      <c r="O50" s="2540"/>
      <c r="P50" s="2540"/>
      <c r="Q50" s="167"/>
      <c r="R50" s="18"/>
      <c r="S50" s="15"/>
      <c r="T50" s="15"/>
      <c r="U50" s="15"/>
      <c r="V50" s="15"/>
      <c r="W50" s="15"/>
      <c r="X50" s="15"/>
      <c r="Y50" s="15"/>
      <c r="Z50" s="15"/>
      <c r="AA50" s="15"/>
      <c r="AB50" s="15"/>
      <c r="AC50" s="2540" t="s">
        <v>119</v>
      </c>
      <c r="AD50" s="2540"/>
      <c r="AE50" s="2540"/>
      <c r="AF50" s="2540"/>
      <c r="AG50" s="1137"/>
    </row>
    <row r="51" spans="1:33" s="7" customFormat="1" ht="20.100000000000001" customHeight="1">
      <c r="A51" s="14" t="s">
        <v>120</v>
      </c>
      <c r="B51" s="18"/>
      <c r="C51" s="15"/>
      <c r="D51" s="15"/>
      <c r="E51" s="15"/>
      <c r="F51" s="15"/>
      <c r="G51" s="15"/>
      <c r="H51" s="15"/>
      <c r="I51" s="15"/>
      <c r="J51" s="15"/>
      <c r="K51" s="15"/>
      <c r="L51" s="15"/>
      <c r="O51" s="15"/>
      <c r="P51" s="15"/>
      <c r="Q51" s="166" t="s">
        <v>682</v>
      </c>
      <c r="R51" s="18"/>
      <c r="S51" s="15"/>
      <c r="T51" s="15"/>
      <c r="U51" s="15"/>
      <c r="V51" s="15"/>
      <c r="W51" s="15"/>
      <c r="X51" s="15"/>
      <c r="Y51" s="15"/>
      <c r="Z51" s="15"/>
      <c r="AA51" s="15"/>
      <c r="AB51" s="15"/>
      <c r="AE51" s="15"/>
      <c r="AF51" s="15"/>
      <c r="AG51" s="1137"/>
    </row>
    <row r="52" spans="1:33" s="7" customFormat="1" ht="20.100000000000001" customHeight="1">
      <c r="A52" s="2296" t="s">
        <v>274</v>
      </c>
      <c r="B52" s="2296"/>
      <c r="C52" s="2296"/>
      <c r="D52" s="2296"/>
      <c r="E52" s="2296"/>
      <c r="F52" s="2296"/>
      <c r="G52" s="2296"/>
      <c r="H52" s="2296"/>
      <c r="I52" s="2296"/>
      <c r="J52" s="2296"/>
      <c r="K52" s="2296"/>
      <c r="L52" s="2296"/>
      <c r="M52" s="2296"/>
      <c r="N52" s="2296"/>
      <c r="O52" s="2296"/>
      <c r="P52" s="2296"/>
      <c r="Q52" s="2295" t="s">
        <v>274</v>
      </c>
      <c r="R52" s="2296"/>
      <c r="S52" s="2296"/>
      <c r="T52" s="2296"/>
      <c r="U52" s="2296"/>
      <c r="V52" s="2296"/>
      <c r="W52" s="2296"/>
      <c r="X52" s="2296"/>
      <c r="Y52" s="2296"/>
      <c r="Z52" s="2296"/>
      <c r="AA52" s="2296"/>
      <c r="AB52" s="2296"/>
      <c r="AC52" s="2296"/>
      <c r="AD52" s="2296"/>
      <c r="AE52" s="2296"/>
      <c r="AF52" s="2296"/>
      <c r="AG52" s="1137"/>
    </row>
    <row r="53" spans="1:33" ht="15.75" thickBot="1">
      <c r="A53" s="1" t="s">
        <v>636</v>
      </c>
      <c r="Q53" s="2397" t="s">
        <v>650</v>
      </c>
      <c r="R53" s="2398"/>
      <c r="S53" s="2398"/>
      <c r="T53" s="2398"/>
      <c r="U53" s="2398"/>
      <c r="V53" s="2398"/>
      <c r="W53" s="2398"/>
      <c r="X53" s="2398"/>
      <c r="Y53" s="2398"/>
      <c r="Z53" s="2398"/>
      <c r="AA53" s="2398"/>
      <c r="AB53" s="2398"/>
      <c r="AC53" s="2398"/>
      <c r="AD53" s="2398"/>
      <c r="AE53" s="2398"/>
      <c r="AF53" s="2398"/>
      <c r="AG53" s="168"/>
    </row>
    <row r="54" spans="1:33" ht="15" customHeight="1" thickTop="1"/>
    <row r="55" spans="1:33" ht="15" customHeight="1"/>
    <row r="174" spans="7:7">
      <c r="G174" s="1" t="s">
        <v>532</v>
      </c>
    </row>
  </sheetData>
  <sortState ref="B6:P36">
    <sortCondition ref="B6:B36"/>
  </sortState>
  <mergeCells count="52">
    <mergeCell ref="AG4:AG6"/>
    <mergeCell ref="Q37:R37"/>
    <mergeCell ref="Q38:R38"/>
    <mergeCell ref="Q47:R47"/>
    <mergeCell ref="Q48:R48"/>
    <mergeCell ref="AB5:AB6"/>
    <mergeCell ref="R4:R6"/>
    <mergeCell ref="S5:T5"/>
    <mergeCell ref="U5:V5"/>
    <mergeCell ref="Z5:Z6"/>
    <mergeCell ref="AA5:AA6"/>
    <mergeCell ref="Q53:AF53"/>
    <mergeCell ref="Q52:AF52"/>
    <mergeCell ref="Q1:AF1"/>
    <mergeCell ref="Q2:AF2"/>
    <mergeCell ref="AC3:AF3"/>
    <mergeCell ref="AD4:AD6"/>
    <mergeCell ref="Z4:AC4"/>
    <mergeCell ref="AE4:AE6"/>
    <mergeCell ref="AF4:AF6"/>
    <mergeCell ref="Q4:Q6"/>
    <mergeCell ref="AC50:AF50"/>
    <mergeCell ref="AC5:AC6"/>
    <mergeCell ref="S4:V4"/>
    <mergeCell ref="W4:W6"/>
    <mergeCell ref="X4:X6"/>
    <mergeCell ref="Y4:Y6"/>
    <mergeCell ref="M3:P3"/>
    <mergeCell ref="A2:P2"/>
    <mergeCell ref="A1:P1"/>
    <mergeCell ref="A37:B37"/>
    <mergeCell ref="A38:B38"/>
    <mergeCell ref="J4:L4"/>
    <mergeCell ref="A4:A6"/>
    <mergeCell ref="L5:L6"/>
    <mergeCell ref="B4:B6"/>
    <mergeCell ref="C4:F4"/>
    <mergeCell ref="G4:G6"/>
    <mergeCell ref="H4:H6"/>
    <mergeCell ref="I4:I6"/>
    <mergeCell ref="A52:P52"/>
    <mergeCell ref="P4:P6"/>
    <mergeCell ref="M4:M6"/>
    <mergeCell ref="N4:N6"/>
    <mergeCell ref="O4:O6"/>
    <mergeCell ref="C5:D5"/>
    <mergeCell ref="E5:F5"/>
    <mergeCell ref="J5:J6"/>
    <mergeCell ref="K5:K6"/>
    <mergeCell ref="M50:P50"/>
    <mergeCell ref="A47:B47"/>
    <mergeCell ref="A48:B48"/>
  </mergeCells>
  <conditionalFormatting sqref="Q7:AG48">
    <cfRule type="expression" dxfId="6" priority="1">
      <formula>MOD(ROW(),3)=1</formula>
    </cfRule>
  </conditionalFormatting>
  <printOptions horizontalCentered="1"/>
  <pageMargins left="0.70866141732283505" right="0.70866141732283505" top="0.511811023622047" bottom="0.39370078740157499" header="0.31496062992126" footer="0.31496062992126"/>
  <pageSetup paperSize="9" scale="65" fitToHeight="0" orientation="landscape" r:id="rId1"/>
  <rowBreaks count="1" manualBreakCount="1">
    <brk id="28" min="16" max="32" man="1"/>
  </rowBreaks>
  <legacyDrawingHF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71AB9-F443-47CF-8E41-09DD6328E752}">
  <dimension ref="A1:AA172"/>
  <sheetViews>
    <sheetView view="pageBreakPreview" topLeftCell="S1" zoomScaleSheetLayoutView="100" workbookViewId="0">
      <selection activeCell="S17" sqref="S17"/>
    </sheetView>
  </sheetViews>
  <sheetFormatPr defaultColWidth="9.140625" defaultRowHeight="14.25"/>
  <cols>
    <col min="1" max="9" width="0" style="68" hidden="1" customWidth="1"/>
    <col min="10" max="10" width="7" style="70" hidden="1" customWidth="1"/>
    <col min="11" max="11" width="39.140625" style="71" hidden="1" customWidth="1"/>
    <col min="12" max="12" width="14.42578125" style="68" hidden="1" customWidth="1"/>
    <col min="13" max="13" width="13.28515625" style="68" hidden="1" customWidth="1"/>
    <col min="14" max="14" width="19.28515625" style="68" hidden="1" customWidth="1"/>
    <col min="15" max="15" width="13.28515625" style="68" hidden="1" customWidth="1"/>
    <col min="16" max="16" width="20" style="68" hidden="1" customWidth="1"/>
    <col min="17" max="17" width="14.42578125" style="68" hidden="1" customWidth="1"/>
    <col min="18" max="18" width="23.140625" style="68" hidden="1" customWidth="1"/>
    <col min="19" max="19" width="9.140625" style="68"/>
    <col min="20" max="20" width="36.42578125" style="68" customWidth="1"/>
    <col min="21" max="27" width="16.7109375" style="68" customWidth="1"/>
    <col min="28" max="16384" width="9.140625" style="68"/>
  </cols>
  <sheetData>
    <row r="1" spans="1:27" s="67" customFormat="1" ht="22.5" customHeight="1" thickTop="1">
      <c r="A1" s="2192" t="s">
        <v>473</v>
      </c>
      <c r="B1" s="2193"/>
      <c r="C1" s="2193"/>
      <c r="D1" s="2193"/>
      <c r="E1" s="2193"/>
      <c r="F1" s="2193"/>
      <c r="G1" s="2193"/>
      <c r="H1" s="2193"/>
      <c r="I1" s="2193"/>
      <c r="J1" s="2192" t="s">
        <v>639</v>
      </c>
      <c r="K1" s="2193"/>
      <c r="L1" s="2193"/>
      <c r="M1" s="2193"/>
      <c r="N1" s="2193"/>
      <c r="O1" s="2193"/>
      <c r="P1" s="2193"/>
      <c r="Q1" s="2193"/>
      <c r="R1" s="2193"/>
      <c r="S1" s="1868" t="s">
        <v>2829</v>
      </c>
      <c r="T1" s="1869"/>
      <c r="U1" s="1869"/>
      <c r="V1" s="1869"/>
      <c r="W1" s="1869"/>
      <c r="X1" s="1869"/>
      <c r="Y1" s="1869"/>
      <c r="Z1" s="1869"/>
      <c r="AA1" s="1870"/>
    </row>
    <row r="2" spans="1:27" s="67" customFormat="1" ht="22.5" customHeight="1">
      <c r="A2" s="2192" t="s">
        <v>474</v>
      </c>
      <c r="B2" s="2192"/>
      <c r="C2" s="2192"/>
      <c r="D2" s="2192"/>
      <c r="E2" s="2192"/>
      <c r="F2" s="2192"/>
      <c r="G2" s="2192"/>
      <c r="H2" s="2192"/>
      <c r="I2" s="2192"/>
      <c r="J2" s="2192" t="s">
        <v>635</v>
      </c>
      <c r="K2" s="2192"/>
      <c r="L2" s="2192"/>
      <c r="M2" s="2192"/>
      <c r="N2" s="2192"/>
      <c r="O2" s="2192"/>
      <c r="P2" s="2192"/>
      <c r="Q2" s="2192"/>
      <c r="R2" s="2192"/>
      <c r="S2" s="2253" t="s">
        <v>2830</v>
      </c>
      <c r="T2" s="2192"/>
      <c r="U2" s="2192"/>
      <c r="V2" s="2192"/>
      <c r="W2" s="2192"/>
      <c r="X2" s="2192"/>
      <c r="Y2" s="2192"/>
      <c r="Z2" s="2192"/>
      <c r="AA2" s="2254"/>
    </row>
    <row r="3" spans="1:27" s="67" customFormat="1" ht="22.5" customHeight="1">
      <c r="A3" s="2569" t="s">
        <v>294</v>
      </c>
      <c r="B3" s="2569"/>
      <c r="C3" s="2569"/>
      <c r="D3" s="2569"/>
      <c r="E3" s="2569"/>
      <c r="F3" s="2569"/>
      <c r="G3" s="2569"/>
      <c r="H3" s="2569"/>
      <c r="I3" s="2569"/>
      <c r="J3" s="2569" t="s">
        <v>524</v>
      </c>
      <c r="K3" s="2569"/>
      <c r="L3" s="2569"/>
      <c r="M3" s="2569"/>
      <c r="N3" s="2569"/>
      <c r="O3" s="2569"/>
      <c r="P3" s="2569"/>
      <c r="Q3" s="2569"/>
      <c r="R3" s="2569"/>
      <c r="S3" s="2570"/>
      <c r="T3" s="2569"/>
      <c r="U3" s="2569"/>
      <c r="V3" s="2569"/>
      <c r="W3" s="2569"/>
      <c r="X3" s="2569"/>
      <c r="Y3" s="2569"/>
      <c r="Z3" s="2569"/>
      <c r="AA3" s="2571"/>
    </row>
    <row r="4" spans="1:27" s="100" customFormat="1" ht="45" customHeight="1">
      <c r="A4" s="1929" t="s">
        <v>520</v>
      </c>
      <c r="B4" s="1929" t="s">
        <v>295</v>
      </c>
      <c r="C4" s="1929" t="s">
        <v>296</v>
      </c>
      <c r="D4" s="1929" t="s">
        <v>297</v>
      </c>
      <c r="E4" s="1929"/>
      <c r="F4" s="1929" t="s">
        <v>298</v>
      </c>
      <c r="G4" s="1929"/>
      <c r="H4" s="1929" t="s">
        <v>299</v>
      </c>
      <c r="I4" s="1929"/>
      <c r="J4" s="1929" t="s">
        <v>520</v>
      </c>
      <c r="K4" s="1929" t="s">
        <v>295</v>
      </c>
      <c r="L4" s="1929" t="s">
        <v>296</v>
      </c>
      <c r="M4" s="1929" t="s">
        <v>297</v>
      </c>
      <c r="N4" s="1929"/>
      <c r="O4" s="1929" t="s">
        <v>298</v>
      </c>
      <c r="P4" s="1929"/>
      <c r="Q4" s="1929" t="s">
        <v>299</v>
      </c>
      <c r="R4" s="1907"/>
      <c r="S4" s="2508" t="s">
        <v>688</v>
      </c>
      <c r="T4" s="2186" t="s">
        <v>779</v>
      </c>
      <c r="U4" s="2186" t="s">
        <v>780</v>
      </c>
      <c r="V4" s="1929" t="s">
        <v>776</v>
      </c>
      <c r="W4" s="1929"/>
      <c r="X4" s="1929" t="s">
        <v>777</v>
      </c>
      <c r="Y4" s="1929"/>
      <c r="Z4" s="1929" t="s">
        <v>778</v>
      </c>
      <c r="AA4" s="1921"/>
    </row>
    <row r="5" spans="1:27" s="100" customFormat="1" ht="90" customHeight="1">
      <c r="A5" s="1929"/>
      <c r="B5" s="1929"/>
      <c r="C5" s="1929"/>
      <c r="D5" s="79" t="s">
        <v>300</v>
      </c>
      <c r="E5" s="79" t="s">
        <v>301</v>
      </c>
      <c r="F5" s="79" t="s">
        <v>300</v>
      </c>
      <c r="G5" s="79" t="s">
        <v>301</v>
      </c>
      <c r="H5" s="79" t="s">
        <v>300</v>
      </c>
      <c r="I5" s="79" t="s">
        <v>301</v>
      </c>
      <c r="J5" s="1929"/>
      <c r="K5" s="1929"/>
      <c r="L5" s="1929"/>
      <c r="M5" s="79" t="s">
        <v>300</v>
      </c>
      <c r="N5" s="79" t="s">
        <v>301</v>
      </c>
      <c r="O5" s="79" t="s">
        <v>300</v>
      </c>
      <c r="P5" s="79" t="s">
        <v>301</v>
      </c>
      <c r="Q5" s="79" t="s">
        <v>300</v>
      </c>
      <c r="R5" s="135" t="s">
        <v>301</v>
      </c>
      <c r="S5" s="2508"/>
      <c r="T5" s="2186"/>
      <c r="U5" s="2186"/>
      <c r="V5" s="265" t="s">
        <v>781</v>
      </c>
      <c r="W5" s="265" t="s">
        <v>782</v>
      </c>
      <c r="X5" s="265" t="s">
        <v>781</v>
      </c>
      <c r="Y5" s="265" t="s">
        <v>782</v>
      </c>
      <c r="Z5" s="265" t="s">
        <v>781</v>
      </c>
      <c r="AA5" s="1557" t="s">
        <v>782</v>
      </c>
    </row>
    <row r="6" spans="1:27" s="85" customFormat="1" ht="46.5" customHeight="1">
      <c r="A6" s="91">
        <v>1</v>
      </c>
      <c r="B6" s="12" t="s">
        <v>436</v>
      </c>
      <c r="C6" s="55">
        <v>30.184000000000001</v>
      </c>
      <c r="D6" s="55">
        <v>21.524000000000001</v>
      </c>
      <c r="E6" s="55">
        <v>71.31</v>
      </c>
      <c r="F6" s="55">
        <v>13.516999999999999</v>
      </c>
      <c r="G6" s="55">
        <v>44.78</v>
      </c>
      <c r="H6" s="55">
        <v>14.535</v>
      </c>
      <c r="I6" s="55">
        <v>48.15</v>
      </c>
      <c r="J6" s="91">
        <v>1</v>
      </c>
      <c r="K6" s="12" t="s">
        <v>436</v>
      </c>
      <c r="L6" s="55">
        <v>31.007000000000001</v>
      </c>
      <c r="M6" s="55">
        <v>14.757</v>
      </c>
      <c r="N6" s="55">
        <f>M6/L6*100</f>
        <v>47.592479117618595</v>
      </c>
      <c r="O6" s="55">
        <v>17.635999999999999</v>
      </c>
      <c r="P6" s="55">
        <f>O6/L6*100</f>
        <v>56.877479278872514</v>
      </c>
      <c r="Q6" s="55">
        <v>13.555</v>
      </c>
      <c r="R6" s="147">
        <f>Q6/L6*100</f>
        <v>43.715935111426454</v>
      </c>
      <c r="S6" s="1157">
        <v>1</v>
      </c>
      <c r="T6" s="12" t="s">
        <v>789</v>
      </c>
      <c r="U6" s="55">
        <v>34.099000000000004</v>
      </c>
      <c r="V6" s="55">
        <v>18.396999999999998</v>
      </c>
      <c r="W6" s="55">
        <v>53.951728789700567</v>
      </c>
      <c r="X6" s="55">
        <v>20.381000000000004</v>
      </c>
      <c r="Y6" s="55">
        <v>59.770081234053784</v>
      </c>
      <c r="Z6" s="55">
        <v>16.949000000000002</v>
      </c>
      <c r="AA6" s="149">
        <v>49.705269949265372</v>
      </c>
    </row>
    <row r="7" spans="1:27" s="85" customFormat="1" ht="47.25" customHeight="1">
      <c r="A7" s="91">
        <v>2</v>
      </c>
      <c r="B7" s="12" t="s">
        <v>437</v>
      </c>
      <c r="C7" s="55">
        <v>14.819000000000001</v>
      </c>
      <c r="D7" s="55">
        <v>9.5190000000000001</v>
      </c>
      <c r="E7" s="55">
        <v>64.239999999999995</v>
      </c>
      <c r="F7" s="55">
        <v>9.6359999999999992</v>
      </c>
      <c r="G7" s="55">
        <v>65.02</v>
      </c>
      <c r="H7" s="55">
        <v>7.383</v>
      </c>
      <c r="I7" s="55">
        <v>49.82</v>
      </c>
      <c r="J7" s="91">
        <v>2</v>
      </c>
      <c r="K7" s="12" t="s">
        <v>523</v>
      </c>
      <c r="L7" s="55">
        <v>0.218</v>
      </c>
      <c r="M7" s="55">
        <v>8.1000000000000003E-2</v>
      </c>
      <c r="N7" s="55">
        <f t="shared" ref="N7:N18" si="0">M7/L7*100</f>
        <v>37.155963302752291</v>
      </c>
      <c r="O7" s="55">
        <v>9.8000000000000004E-2</v>
      </c>
      <c r="P7" s="55">
        <f t="shared" ref="P7:P18" si="1">O7/L7*100</f>
        <v>44.954128440366972</v>
      </c>
      <c r="Q7" s="55">
        <v>9.6000000000000002E-2</v>
      </c>
      <c r="R7" s="147">
        <f t="shared" ref="R7:R18" si="2">Q7/L7*100</f>
        <v>44.036697247706428</v>
      </c>
      <c r="S7" s="1531">
        <v>2</v>
      </c>
      <c r="T7" s="1521" t="s">
        <v>790</v>
      </c>
      <c r="U7" s="1514">
        <v>0.218</v>
      </c>
      <c r="V7" s="1514">
        <v>0.112</v>
      </c>
      <c r="W7" s="1514">
        <v>51.37614678899083</v>
      </c>
      <c r="X7" s="1514">
        <v>0.1</v>
      </c>
      <c r="Y7" s="1514">
        <v>45.871559633027523</v>
      </c>
      <c r="Z7" s="1514">
        <v>0.10199999999999999</v>
      </c>
      <c r="AA7" s="1532">
        <v>46.788990825688067</v>
      </c>
    </row>
    <row r="8" spans="1:27" ht="45.75" customHeight="1">
      <c r="A8" s="91">
        <v>3</v>
      </c>
      <c r="B8" s="12" t="s">
        <v>438</v>
      </c>
      <c r="C8" s="55">
        <v>22.344000000000001</v>
      </c>
      <c r="D8" s="55">
        <v>17.164999999999999</v>
      </c>
      <c r="E8" s="55">
        <v>76.819999999999993</v>
      </c>
      <c r="F8" s="55">
        <v>11.023999999999999</v>
      </c>
      <c r="G8" s="55">
        <v>49.34</v>
      </c>
      <c r="H8" s="55">
        <v>10.265000000000001</v>
      </c>
      <c r="I8" s="55">
        <v>45.94</v>
      </c>
      <c r="J8" s="91">
        <v>2</v>
      </c>
      <c r="K8" s="12" t="s">
        <v>437</v>
      </c>
      <c r="L8" s="55">
        <v>14.819000000000001</v>
      </c>
      <c r="M8" s="55">
        <v>3.3039999999999998</v>
      </c>
      <c r="N8" s="55">
        <f t="shared" si="0"/>
        <v>22.295701464336322</v>
      </c>
      <c r="O8" s="55">
        <v>7.3460000000000001</v>
      </c>
      <c r="P8" s="55">
        <f t="shared" si="1"/>
        <v>49.571496052365205</v>
      </c>
      <c r="Q8" s="55">
        <v>5.7149999999999999</v>
      </c>
      <c r="R8" s="147">
        <f t="shared" si="2"/>
        <v>38.565355287131382</v>
      </c>
      <c r="S8" s="1157">
        <v>2</v>
      </c>
      <c r="T8" s="12" t="s">
        <v>791</v>
      </c>
      <c r="U8" s="55">
        <v>14.818999999999999</v>
      </c>
      <c r="V8" s="55">
        <v>6.5570000000000004</v>
      </c>
      <c r="W8" s="55">
        <v>44.247250151832112</v>
      </c>
      <c r="X8" s="55">
        <v>5.4740000000000002</v>
      </c>
      <c r="Y8" s="55">
        <v>36.93906471421824</v>
      </c>
      <c r="Z8" s="55">
        <v>5.6630000000000003</v>
      </c>
      <c r="AA8" s="149">
        <v>38.214454416627305</v>
      </c>
    </row>
    <row r="9" spans="1:27" ht="50.25" customHeight="1">
      <c r="A9" s="91">
        <v>4</v>
      </c>
      <c r="B9" s="12" t="s">
        <v>439</v>
      </c>
      <c r="C9" s="55">
        <v>7.3940000000000001</v>
      </c>
      <c r="D9" s="55">
        <v>6.7919999999999998</v>
      </c>
      <c r="E9" s="55">
        <v>91.86</v>
      </c>
      <c r="F9" s="55">
        <v>2.081</v>
      </c>
      <c r="G9" s="55">
        <v>28.14</v>
      </c>
      <c r="H9" s="55">
        <v>4.2729999999999997</v>
      </c>
      <c r="I9" s="55">
        <v>57.79</v>
      </c>
      <c r="J9" s="91">
        <v>3</v>
      </c>
      <c r="K9" s="12" t="s">
        <v>438</v>
      </c>
      <c r="L9" s="55">
        <v>22.344000000000001</v>
      </c>
      <c r="M9" s="55">
        <v>11.92</v>
      </c>
      <c r="N9" s="55">
        <f t="shared" si="0"/>
        <v>53.347654851414248</v>
      </c>
      <c r="O9" s="55">
        <v>12.464</v>
      </c>
      <c r="P9" s="55">
        <f t="shared" si="1"/>
        <v>55.782312925170061</v>
      </c>
      <c r="Q9" s="55">
        <v>7.7930000000000001</v>
      </c>
      <c r="R9" s="147">
        <f t="shared" si="2"/>
        <v>34.87737200143215</v>
      </c>
      <c r="S9" s="1157">
        <v>3</v>
      </c>
      <c r="T9" s="12" t="s">
        <v>792</v>
      </c>
      <c r="U9" s="55">
        <v>22.343999999999998</v>
      </c>
      <c r="V9" s="55">
        <v>12.234</v>
      </c>
      <c r="W9" s="55">
        <v>54.752953813104199</v>
      </c>
      <c r="X9" s="55">
        <v>9.7460000000000004</v>
      </c>
      <c r="Y9" s="55">
        <v>43.617973505191557</v>
      </c>
      <c r="Z9" s="55">
        <v>8.7450000000000028</v>
      </c>
      <c r="AA9" s="149">
        <v>39.138023630504847</v>
      </c>
    </row>
    <row r="10" spans="1:27" ht="47.25" customHeight="1">
      <c r="A10" s="91">
        <v>5</v>
      </c>
      <c r="B10" s="12" t="s">
        <v>302</v>
      </c>
      <c r="C10" s="55">
        <v>4.0119999999999996</v>
      </c>
      <c r="D10" s="55">
        <v>2.9460000000000002</v>
      </c>
      <c r="E10" s="55">
        <v>73.430000000000007</v>
      </c>
      <c r="F10" s="55">
        <v>2.5110000000000001</v>
      </c>
      <c r="G10" s="55">
        <v>62.59</v>
      </c>
      <c r="H10" s="55">
        <v>2.4279999999999999</v>
      </c>
      <c r="I10" s="55">
        <v>60.52</v>
      </c>
      <c r="J10" s="91">
        <v>4</v>
      </c>
      <c r="K10" s="12" t="s">
        <v>439</v>
      </c>
      <c r="L10" s="55">
        <v>7.3940000000000001</v>
      </c>
      <c r="M10" s="55">
        <v>5.1970000000000001</v>
      </c>
      <c r="N10" s="55">
        <f t="shared" si="0"/>
        <v>70.286718961319991</v>
      </c>
      <c r="O10" s="55">
        <v>5.665</v>
      </c>
      <c r="P10" s="55">
        <f t="shared" si="1"/>
        <v>76.616175277251827</v>
      </c>
      <c r="Q10" s="55">
        <v>3.7490000000000001</v>
      </c>
      <c r="R10" s="147">
        <f t="shared" si="2"/>
        <v>50.703272923992429</v>
      </c>
      <c r="S10" s="1157">
        <v>4</v>
      </c>
      <c r="T10" s="12" t="s">
        <v>793</v>
      </c>
      <c r="U10" s="55">
        <v>7.3940000000000001</v>
      </c>
      <c r="V10" s="55">
        <v>5.4370000000000003</v>
      </c>
      <c r="W10" s="55">
        <v>73.532593995131194</v>
      </c>
      <c r="X10" s="55">
        <v>5.9449999999999994</v>
      </c>
      <c r="Y10" s="55">
        <v>80.40302948336489</v>
      </c>
      <c r="Z10" s="55">
        <v>4.2680000000000007</v>
      </c>
      <c r="AA10" s="149">
        <v>57.722477684609153</v>
      </c>
    </row>
    <row r="11" spans="1:27" ht="46.5" customHeight="1">
      <c r="A11" s="91">
        <v>6</v>
      </c>
      <c r="B11" s="12" t="s">
        <v>440</v>
      </c>
      <c r="C11" s="55">
        <v>1.042</v>
      </c>
      <c r="D11" s="55">
        <v>0.80800000000000005</v>
      </c>
      <c r="E11" s="55">
        <v>77.540000000000006</v>
      </c>
      <c r="F11" s="55">
        <v>0.22</v>
      </c>
      <c r="G11" s="55">
        <v>21.11</v>
      </c>
      <c r="H11" s="55">
        <v>0.45100000000000001</v>
      </c>
      <c r="I11" s="55">
        <v>43.28</v>
      </c>
      <c r="J11" s="91">
        <v>5</v>
      </c>
      <c r="K11" s="12" t="s">
        <v>302</v>
      </c>
      <c r="L11" s="55">
        <v>4.0119999999999996</v>
      </c>
      <c r="M11" s="55">
        <v>2.0059999999999998</v>
      </c>
      <c r="N11" s="55">
        <f t="shared" si="0"/>
        <v>50</v>
      </c>
      <c r="O11" s="55">
        <v>2.2559999999999998</v>
      </c>
      <c r="P11" s="55">
        <f t="shared" si="1"/>
        <v>56.231306081754738</v>
      </c>
      <c r="Q11" s="55">
        <v>2.0150000000000001</v>
      </c>
      <c r="R11" s="147">
        <f t="shared" si="2"/>
        <v>50.224327018943185</v>
      </c>
      <c r="S11" s="1157">
        <v>5</v>
      </c>
      <c r="T11" s="12" t="s">
        <v>794</v>
      </c>
      <c r="U11" s="55">
        <v>4.3119999999999994</v>
      </c>
      <c r="V11" s="55">
        <v>2.0030000000000001</v>
      </c>
      <c r="W11" s="55">
        <v>46.451762523191107</v>
      </c>
      <c r="X11" s="55">
        <v>2.3109999999999999</v>
      </c>
      <c r="Y11" s="55">
        <v>53.594619666048246</v>
      </c>
      <c r="Z11" s="55">
        <v>2.3580000000000001</v>
      </c>
      <c r="AA11" s="149">
        <v>54.684601113172548</v>
      </c>
    </row>
    <row r="12" spans="1:27" ht="50.25" customHeight="1">
      <c r="A12" s="91">
        <v>7</v>
      </c>
      <c r="B12" s="12" t="s">
        <v>441</v>
      </c>
      <c r="C12" s="55">
        <v>1.1859999999999999</v>
      </c>
      <c r="D12" s="55">
        <v>0.70099999999999996</v>
      </c>
      <c r="E12" s="55">
        <v>59.11</v>
      </c>
      <c r="F12" s="55">
        <v>0.16600000000000001</v>
      </c>
      <c r="G12" s="55">
        <v>14</v>
      </c>
      <c r="H12" s="55">
        <v>0.35699999999999998</v>
      </c>
      <c r="I12" s="55">
        <v>30.1</v>
      </c>
      <c r="J12" s="91">
        <v>6</v>
      </c>
      <c r="K12" s="12" t="s">
        <v>440</v>
      </c>
      <c r="L12" s="55">
        <v>1.042</v>
      </c>
      <c r="M12" s="55">
        <v>0.48399999999999999</v>
      </c>
      <c r="N12" s="55">
        <f t="shared" si="0"/>
        <v>46.449136276391549</v>
      </c>
      <c r="O12" s="55">
        <v>0.57599999999999996</v>
      </c>
      <c r="P12" s="55">
        <f t="shared" si="1"/>
        <v>55.278310940499033</v>
      </c>
      <c r="Q12" s="55">
        <v>0.32800000000000001</v>
      </c>
      <c r="R12" s="147">
        <f t="shared" si="2"/>
        <v>31.477927063339735</v>
      </c>
      <c r="S12" s="1157">
        <v>6</v>
      </c>
      <c r="T12" s="12" t="s">
        <v>795</v>
      </c>
      <c r="U12" s="55">
        <v>1.042</v>
      </c>
      <c r="V12" s="55">
        <v>0.58799999999999997</v>
      </c>
      <c r="W12" s="55">
        <v>56.429942418426094</v>
      </c>
      <c r="X12" s="55">
        <v>0.17799999999999999</v>
      </c>
      <c r="Y12" s="55">
        <v>17.08253358925144</v>
      </c>
      <c r="Z12" s="55">
        <v>0.377</v>
      </c>
      <c r="AA12" s="149">
        <v>36.18042226487524</v>
      </c>
    </row>
    <row r="13" spans="1:27" ht="45" customHeight="1">
      <c r="A13" s="91">
        <v>8</v>
      </c>
      <c r="B13" s="12" t="s">
        <v>442</v>
      </c>
      <c r="C13" s="55">
        <v>17.713999999999999</v>
      </c>
      <c r="D13" s="55">
        <v>14.085000000000001</v>
      </c>
      <c r="E13" s="55">
        <v>79.510000000000005</v>
      </c>
      <c r="F13" s="55">
        <v>7.5449999999999999</v>
      </c>
      <c r="G13" s="55">
        <v>42.59</v>
      </c>
      <c r="H13" s="55">
        <v>9.2759999999999998</v>
      </c>
      <c r="I13" s="55">
        <v>52.37</v>
      </c>
      <c r="J13" s="91">
        <v>7</v>
      </c>
      <c r="K13" s="12" t="s">
        <v>441</v>
      </c>
      <c r="L13" s="55">
        <v>1.1859999999999999</v>
      </c>
      <c r="M13" s="55">
        <v>0.52700000000000002</v>
      </c>
      <c r="N13" s="55">
        <f t="shared" si="0"/>
        <v>44.435075885328843</v>
      </c>
      <c r="O13" s="55">
        <v>0.497</v>
      </c>
      <c r="P13" s="55">
        <f t="shared" si="1"/>
        <v>41.905564924114671</v>
      </c>
      <c r="Q13" s="55">
        <v>0.30399999999999999</v>
      </c>
      <c r="R13" s="147">
        <f t="shared" si="2"/>
        <v>25.632377740303543</v>
      </c>
      <c r="S13" s="1157">
        <v>7</v>
      </c>
      <c r="T13" s="12" t="s">
        <v>796</v>
      </c>
      <c r="U13" s="55">
        <v>1.379</v>
      </c>
      <c r="V13" s="55">
        <v>0.64600000000000013</v>
      </c>
      <c r="W13" s="55">
        <v>46.845540246555487</v>
      </c>
      <c r="X13" s="55">
        <v>0.56800000000000006</v>
      </c>
      <c r="Y13" s="55">
        <v>41.189267585206672</v>
      </c>
      <c r="Z13" s="55">
        <v>0.436</v>
      </c>
      <c r="AA13" s="149">
        <v>31.617113850616391</v>
      </c>
    </row>
    <row r="14" spans="1:27" ht="47.25" customHeight="1">
      <c r="A14" s="91">
        <v>9</v>
      </c>
      <c r="B14" s="12" t="s">
        <v>443</v>
      </c>
      <c r="C14" s="55">
        <v>33.573</v>
      </c>
      <c r="D14" s="55">
        <v>22.498000000000001</v>
      </c>
      <c r="E14" s="55">
        <v>67.010000000000005</v>
      </c>
      <c r="F14" s="55">
        <v>12.432</v>
      </c>
      <c r="G14" s="55">
        <v>37.03</v>
      </c>
      <c r="H14" s="55">
        <v>16.010000000000002</v>
      </c>
      <c r="I14" s="55">
        <v>47.69</v>
      </c>
      <c r="J14" s="91">
        <v>8</v>
      </c>
      <c r="K14" s="12" t="s">
        <v>442</v>
      </c>
      <c r="L14" s="55">
        <v>17.713999999999999</v>
      </c>
      <c r="M14" s="55">
        <v>10.958</v>
      </c>
      <c r="N14" s="55">
        <f t="shared" si="0"/>
        <v>61.860675172180201</v>
      </c>
      <c r="O14" s="55">
        <v>11.143000000000001</v>
      </c>
      <c r="P14" s="55">
        <f t="shared" si="1"/>
        <v>62.905046855594449</v>
      </c>
      <c r="Q14" s="55">
        <v>7.8959999999999999</v>
      </c>
      <c r="R14" s="147">
        <f t="shared" si="2"/>
        <v>44.574912498588695</v>
      </c>
      <c r="S14" s="1157">
        <v>8</v>
      </c>
      <c r="T14" s="12" t="s">
        <v>797</v>
      </c>
      <c r="U14" s="55">
        <v>18.089999999999996</v>
      </c>
      <c r="V14" s="55">
        <v>10.672999999999998</v>
      </c>
      <c r="W14" s="55">
        <v>58.999447208402437</v>
      </c>
      <c r="X14" s="55">
        <v>10.859000000000002</v>
      </c>
      <c r="Y14" s="55">
        <v>60.027639579878411</v>
      </c>
      <c r="Z14" s="55">
        <v>8.5309999999999988</v>
      </c>
      <c r="AA14" s="149">
        <v>47.158651188501935</v>
      </c>
    </row>
    <row r="15" spans="1:27" ht="42.75" customHeight="1">
      <c r="A15" s="91">
        <v>10</v>
      </c>
      <c r="B15" s="12" t="s">
        <v>444</v>
      </c>
      <c r="C15" s="55">
        <v>13.471</v>
      </c>
      <c r="D15" s="55">
        <v>11.292</v>
      </c>
      <c r="E15" s="55">
        <v>83.82</v>
      </c>
      <c r="F15" s="55">
        <v>8.1189999999999998</v>
      </c>
      <c r="G15" s="55">
        <v>60.27</v>
      </c>
      <c r="H15" s="55">
        <v>9.1140000000000008</v>
      </c>
      <c r="I15" s="55">
        <v>67.66</v>
      </c>
      <c r="J15" s="91">
        <v>9</v>
      </c>
      <c r="K15" s="12" t="s">
        <v>443</v>
      </c>
      <c r="L15" s="55">
        <v>33.573</v>
      </c>
      <c r="M15" s="55">
        <v>15.03</v>
      </c>
      <c r="N15" s="55">
        <f t="shared" si="0"/>
        <v>44.768117237065496</v>
      </c>
      <c r="O15" s="55">
        <v>15.061</v>
      </c>
      <c r="P15" s="55">
        <f t="shared" si="1"/>
        <v>44.860453340481932</v>
      </c>
      <c r="Q15" s="55">
        <v>10.377000000000001</v>
      </c>
      <c r="R15" s="147">
        <f t="shared" si="2"/>
        <v>30.9087659726566</v>
      </c>
      <c r="S15" s="1157">
        <v>9</v>
      </c>
      <c r="T15" s="12" t="s">
        <v>798</v>
      </c>
      <c r="U15" s="55">
        <v>32.301000000000002</v>
      </c>
      <c r="V15" s="55">
        <v>15.373999999999999</v>
      </c>
      <c r="W15" s="55">
        <v>47.596049657905318</v>
      </c>
      <c r="X15" s="55">
        <v>18.347000000000005</v>
      </c>
      <c r="Y15" s="55">
        <v>56.80009906814032</v>
      </c>
      <c r="Z15" s="55">
        <v>11.97</v>
      </c>
      <c r="AA15" s="149">
        <v>37.057676232933964</v>
      </c>
    </row>
    <row r="16" spans="1:27" ht="46.5" customHeight="1" thickBot="1">
      <c r="A16" s="91">
        <v>11</v>
      </c>
      <c r="B16" s="12" t="s">
        <v>445</v>
      </c>
      <c r="C16" s="55">
        <v>8.359</v>
      </c>
      <c r="D16" s="55">
        <v>7.093</v>
      </c>
      <c r="E16" s="55">
        <v>84.85</v>
      </c>
      <c r="F16" s="55">
        <v>3.927</v>
      </c>
      <c r="G16" s="55">
        <v>46.98</v>
      </c>
      <c r="H16" s="55">
        <v>3.8730000000000002</v>
      </c>
      <c r="I16" s="55">
        <v>46.33</v>
      </c>
      <c r="J16" s="91">
        <v>10</v>
      </c>
      <c r="K16" s="12" t="s">
        <v>444</v>
      </c>
      <c r="L16" s="55">
        <v>14.151</v>
      </c>
      <c r="M16" s="55">
        <v>8.2560000000000002</v>
      </c>
      <c r="N16" s="55">
        <f t="shared" si="0"/>
        <v>58.342166631333484</v>
      </c>
      <c r="O16" s="55">
        <v>10.468</v>
      </c>
      <c r="P16" s="55">
        <f t="shared" si="1"/>
        <v>73.973570772383582</v>
      </c>
      <c r="Q16" s="55">
        <v>8.609</v>
      </c>
      <c r="R16" s="147">
        <f t="shared" si="2"/>
        <v>60.83668998657339</v>
      </c>
      <c r="S16" s="191">
        <v>10</v>
      </c>
      <c r="T16" s="1671" t="s">
        <v>799</v>
      </c>
      <c r="U16" s="1674">
        <v>14.150999999999998</v>
      </c>
      <c r="V16" s="1674">
        <v>8.895999999999999</v>
      </c>
      <c r="W16" s="1674">
        <v>62.864815207405847</v>
      </c>
      <c r="X16" s="1674">
        <v>10.233999999999998</v>
      </c>
      <c r="Y16" s="1674">
        <v>72.319977386757117</v>
      </c>
      <c r="Z16" s="1674">
        <v>9.2129999999999992</v>
      </c>
      <c r="AA16" s="1675">
        <v>65.104939580241677</v>
      </c>
    </row>
    <row r="17" spans="1:27" ht="51.75" customHeight="1" thickTop="1">
      <c r="A17" s="91">
        <v>12</v>
      </c>
      <c r="B17" s="12" t="s">
        <v>446</v>
      </c>
      <c r="C17" s="55">
        <v>16.23</v>
      </c>
      <c r="D17" s="55">
        <v>12.154999999999999</v>
      </c>
      <c r="E17" s="55">
        <v>74.89</v>
      </c>
      <c r="F17" s="55">
        <v>10.744999999999999</v>
      </c>
      <c r="G17" s="55">
        <v>66.2</v>
      </c>
      <c r="H17" s="55">
        <v>10.023</v>
      </c>
      <c r="I17" s="55">
        <v>61.76</v>
      </c>
      <c r="J17" s="91">
        <v>11</v>
      </c>
      <c r="K17" s="12" t="s">
        <v>445</v>
      </c>
      <c r="L17" s="55">
        <v>10.151</v>
      </c>
      <c r="M17" s="55">
        <v>7.407</v>
      </c>
      <c r="N17" s="55">
        <f t="shared" si="0"/>
        <v>72.968180474830064</v>
      </c>
      <c r="O17" s="55">
        <v>6.7140000000000004</v>
      </c>
      <c r="P17" s="55">
        <f t="shared" si="1"/>
        <v>66.141266870259102</v>
      </c>
      <c r="Q17" s="55">
        <v>3.4870000000000001</v>
      </c>
      <c r="R17" s="147">
        <f t="shared" si="2"/>
        <v>34.351295438873017</v>
      </c>
      <c r="S17" s="1158">
        <v>11</v>
      </c>
      <c r="T17" s="1670" t="s">
        <v>800</v>
      </c>
      <c r="U17" s="1620">
        <v>10.358000000000001</v>
      </c>
      <c r="V17" s="1620">
        <v>7.1150000000000011</v>
      </c>
      <c r="W17" s="1620">
        <v>68.69086696273412</v>
      </c>
      <c r="X17" s="1620">
        <v>8.282</v>
      </c>
      <c r="Y17" s="1620">
        <v>79.957520756902881</v>
      </c>
      <c r="Z17" s="1620">
        <v>4.1760000000000002</v>
      </c>
      <c r="AA17" s="1673">
        <v>40.316663448542187</v>
      </c>
    </row>
    <row r="18" spans="1:27" ht="53.25" customHeight="1">
      <c r="A18" s="2572" t="s">
        <v>303</v>
      </c>
      <c r="B18" s="2414"/>
      <c r="C18" s="57">
        <f>SUM(C6:C17)</f>
        <v>170.32800000000003</v>
      </c>
      <c r="D18" s="57">
        <f>SUM(D6:D17)</f>
        <v>126.578</v>
      </c>
      <c r="E18" s="57"/>
      <c r="F18" s="57">
        <f>SUM(F6:F17)</f>
        <v>81.923000000000016</v>
      </c>
      <c r="G18" s="57"/>
      <c r="H18" s="57">
        <f>SUM(H6:H17)</f>
        <v>87.988000000000014</v>
      </c>
      <c r="I18" s="57"/>
      <c r="J18" s="91">
        <v>12</v>
      </c>
      <c r="K18" s="12" t="s">
        <v>446</v>
      </c>
      <c r="L18" s="55">
        <v>16.622</v>
      </c>
      <c r="M18" s="55">
        <v>9.827</v>
      </c>
      <c r="N18" s="55">
        <f t="shared" si="0"/>
        <v>59.120442786668271</v>
      </c>
      <c r="O18" s="55">
        <v>9.6530000000000005</v>
      </c>
      <c r="P18" s="55">
        <f t="shared" si="1"/>
        <v>58.073637348092888</v>
      </c>
      <c r="Q18" s="55">
        <v>8.0909999999999993</v>
      </c>
      <c r="R18" s="147">
        <f t="shared" si="2"/>
        <v>48.676452893755261</v>
      </c>
      <c r="S18" s="1157">
        <v>12</v>
      </c>
      <c r="T18" s="12" t="s">
        <v>801</v>
      </c>
      <c r="U18" s="55">
        <v>16.961000000000002</v>
      </c>
      <c r="V18" s="55">
        <v>8.56</v>
      </c>
      <c r="W18" s="55">
        <v>50.46872236306821</v>
      </c>
      <c r="X18" s="55">
        <v>10.092000000000002</v>
      </c>
      <c r="Y18" s="55">
        <v>59.501208655150059</v>
      </c>
      <c r="Z18" s="55">
        <v>8.854000000000001</v>
      </c>
      <c r="AA18" s="149">
        <v>52.2021107246035</v>
      </c>
    </row>
    <row r="19" spans="1:27" s="69" customFormat="1" ht="30.75" customHeight="1">
      <c r="A19" s="32"/>
      <c r="B19" s="18"/>
      <c r="C19" s="7"/>
      <c r="D19" s="7"/>
      <c r="E19" s="7"/>
      <c r="F19" s="7"/>
      <c r="G19" s="7"/>
      <c r="H19" s="7"/>
      <c r="I19" s="7"/>
      <c r="J19" s="2572" t="s">
        <v>303</v>
      </c>
      <c r="K19" s="2414"/>
      <c r="L19" s="57">
        <f>SUM(L6:L18)</f>
        <v>174.23300000000006</v>
      </c>
      <c r="M19" s="57">
        <f>SUM(M6:M18)</f>
        <v>89.753999999999991</v>
      </c>
      <c r="N19" s="57"/>
      <c r="O19" s="57">
        <f>SUM(O6:O18)</f>
        <v>99.576999999999998</v>
      </c>
      <c r="P19" s="57"/>
      <c r="Q19" s="57">
        <f>SUM(Q6:Q18)</f>
        <v>72.015000000000001</v>
      </c>
      <c r="R19" s="148"/>
      <c r="S19" s="1979" t="s">
        <v>802</v>
      </c>
      <c r="T19" s="2414"/>
      <c r="U19" s="57">
        <f>SUM(U6:U18)</f>
        <v>177.46800000000002</v>
      </c>
      <c r="V19" s="57">
        <f>SUM(V6:V18)</f>
        <v>96.591999999999985</v>
      </c>
      <c r="W19" s="57"/>
      <c r="X19" s="57">
        <f>SUM(X6:X18)</f>
        <v>102.517</v>
      </c>
      <c r="Y19" s="57"/>
      <c r="Z19" s="57">
        <f>SUM(Z6:Z18)</f>
        <v>81.641999999999996</v>
      </c>
      <c r="AA19" s="150"/>
    </row>
    <row r="20" spans="1:27" s="67" customFormat="1" ht="20.100000000000001" customHeight="1">
      <c r="A20" s="2573" t="s">
        <v>304</v>
      </c>
      <c r="B20" s="2573"/>
      <c r="C20" s="2573"/>
      <c r="D20" s="2573"/>
      <c r="E20" s="2573"/>
      <c r="F20" s="2573"/>
      <c r="G20" s="2573"/>
      <c r="H20" s="2573"/>
      <c r="I20" s="2573"/>
      <c r="J20" s="7" t="s">
        <v>519</v>
      </c>
      <c r="K20" s="7"/>
      <c r="L20" s="7"/>
      <c r="M20" s="7"/>
      <c r="N20" s="7" t="s">
        <v>465</v>
      </c>
      <c r="O20" s="7"/>
      <c r="P20" s="7" t="s">
        <v>466</v>
      </c>
      <c r="Q20" s="7"/>
      <c r="R20" s="7"/>
      <c r="S20" s="1136" t="s">
        <v>783</v>
      </c>
      <c r="T20" s="7"/>
      <c r="U20" s="7"/>
      <c r="V20" s="7"/>
      <c r="W20" s="7" t="s">
        <v>465</v>
      </c>
      <c r="X20" s="7"/>
      <c r="Y20" s="7" t="s">
        <v>466</v>
      </c>
      <c r="Z20" s="7"/>
      <c r="AA20" s="1137"/>
    </row>
    <row r="21" spans="1:27" s="67" customFormat="1" ht="20.100000000000001" customHeight="1" thickBot="1">
      <c r="J21" s="2574" t="s">
        <v>304</v>
      </c>
      <c r="K21" s="2575"/>
      <c r="L21" s="2575"/>
      <c r="M21" s="2575"/>
      <c r="N21" s="2575"/>
      <c r="O21" s="2575"/>
      <c r="P21" s="2575"/>
      <c r="Q21" s="2575"/>
      <c r="R21" s="2575"/>
      <c r="S21" s="2576" t="s">
        <v>304</v>
      </c>
      <c r="T21" s="2577"/>
      <c r="U21" s="2577"/>
      <c r="V21" s="2577"/>
      <c r="W21" s="2577"/>
      <c r="X21" s="2577"/>
      <c r="Y21" s="2577"/>
      <c r="Z21" s="2577"/>
      <c r="AA21" s="2578"/>
    </row>
    <row r="22" spans="1:27" ht="21.95" customHeight="1" thickTop="1"/>
    <row r="23" spans="1:27" ht="20.25" customHeight="1"/>
    <row r="172" spans="7:7" ht="15">
      <c r="G172" s="1" t="s">
        <v>532</v>
      </c>
    </row>
  </sheetData>
  <mergeCells count="33">
    <mergeCell ref="S4:S5"/>
    <mergeCell ref="A18:B18"/>
    <mergeCell ref="K4:K5"/>
    <mergeCell ref="L4:L5"/>
    <mergeCell ref="M4:N4"/>
    <mergeCell ref="O4:P4"/>
    <mergeCell ref="J19:K19"/>
    <mergeCell ref="S19:T19"/>
    <mergeCell ref="A20:I20"/>
    <mergeCell ref="J21:R21"/>
    <mergeCell ref="S21:AA21"/>
    <mergeCell ref="A3:I3"/>
    <mergeCell ref="J3:R3"/>
    <mergeCell ref="S3:AA3"/>
    <mergeCell ref="A4:A5"/>
    <mergeCell ref="B4:B5"/>
    <mergeCell ref="C4:C5"/>
    <mergeCell ref="D4:E4"/>
    <mergeCell ref="F4:G4"/>
    <mergeCell ref="H4:I4"/>
    <mergeCell ref="J4:J5"/>
    <mergeCell ref="T4:T5"/>
    <mergeCell ref="U4:U5"/>
    <mergeCell ref="V4:W4"/>
    <mergeCell ref="X4:Y4"/>
    <mergeCell ref="Z4:AA4"/>
    <mergeCell ref="Q4:R4"/>
    <mergeCell ref="A1:I1"/>
    <mergeCell ref="J1:R1"/>
    <mergeCell ref="S1:AA1"/>
    <mergeCell ref="A2:I2"/>
    <mergeCell ref="J2:R2"/>
    <mergeCell ref="S2:AA2"/>
  </mergeCells>
  <conditionalFormatting sqref="S6:AA19">
    <cfRule type="expression" dxfId="5" priority="1">
      <formula>MOD(ROW(),3)=1</formula>
    </cfRule>
  </conditionalFormatting>
  <hyperlinks>
    <hyperlink ref="J21" r:id="rId1" xr:uid="{692572DD-90A8-4240-8490-6BAC3B4B3875}"/>
    <hyperlink ref="A20" r:id="rId2" xr:uid="{C84835A4-10AB-43F7-8F56-5E02F11A6E67}"/>
    <hyperlink ref="S21" r:id="rId3" xr:uid="{DE2B0757-FFD8-46AD-ABF7-665FD81DC2E8}"/>
  </hyperlinks>
  <printOptions horizontalCentered="1"/>
  <pageMargins left="0.70866141732283472" right="0.70866141732283472" top="0.51181102362204722" bottom="0.39370078740157483" header="0.31496062992125984" footer="0.31496062992125984"/>
  <pageSetup paperSize="9" scale="75" fitToHeight="0" orientation="landscape" r:id="rId4"/>
  <legacyDrawingHF r:id="rId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A2CF6-98E9-4CAB-BA67-F36FD6448C6D}">
  <dimension ref="A1:U173"/>
  <sheetViews>
    <sheetView view="pageBreakPreview" topLeftCell="O1" zoomScaleSheetLayoutView="100" workbookViewId="0">
      <selection activeCell="S17" sqref="S17"/>
    </sheetView>
  </sheetViews>
  <sheetFormatPr defaultColWidth="9.140625" defaultRowHeight="14.25"/>
  <cols>
    <col min="1" max="1" width="6.28515625" style="369" hidden="1" customWidth="1"/>
    <col min="2" max="2" width="17.28515625" style="344" hidden="1" customWidth="1"/>
    <col min="3" max="3" width="13.140625" style="344" hidden="1" customWidth="1"/>
    <col min="4" max="4" width="11.5703125" style="344" hidden="1" customWidth="1"/>
    <col min="5" max="5" width="16.7109375" style="344" hidden="1" customWidth="1"/>
    <col min="6" max="6" width="18.7109375" style="344" hidden="1" customWidth="1"/>
    <col min="7" max="7" width="21.7109375" style="344" hidden="1" customWidth="1"/>
    <col min="8" max="8" width="16.28515625" style="344" hidden="1" customWidth="1"/>
    <col min="9" max="9" width="16" style="344" hidden="1" customWidth="1"/>
    <col min="10" max="11" width="11.85546875" style="344" hidden="1" customWidth="1"/>
    <col min="12" max="12" width="24.28515625" style="344" hidden="1" customWidth="1"/>
    <col min="13" max="14" width="17.5703125" style="344" hidden="1" customWidth="1"/>
    <col min="15" max="15" width="9.140625" style="344"/>
    <col min="16" max="16" width="20.28515625" style="344" customWidth="1"/>
    <col min="17" max="20" width="12.7109375" style="344" customWidth="1"/>
    <col min="21" max="21" width="17.7109375" style="344" customWidth="1"/>
    <col min="22" max="16384" width="9.140625" style="344"/>
  </cols>
  <sheetData>
    <row r="1" spans="1:21" ht="19.5" customHeight="1" thickTop="1">
      <c r="A1" s="2579" t="s">
        <v>471</v>
      </c>
      <c r="B1" s="2579"/>
      <c r="C1" s="2579"/>
      <c r="D1" s="2579"/>
      <c r="E1" s="2579"/>
      <c r="F1" s="2579"/>
      <c r="G1" s="2579"/>
      <c r="H1" s="2579" t="s">
        <v>628</v>
      </c>
      <c r="I1" s="2579"/>
      <c r="J1" s="2579"/>
      <c r="K1" s="2579"/>
      <c r="L1" s="2579"/>
      <c r="M1" s="2579"/>
      <c r="N1" s="2579"/>
      <c r="O1" s="2274" t="s">
        <v>2831</v>
      </c>
      <c r="P1" s="2580"/>
      <c r="Q1" s="2580"/>
      <c r="R1" s="2580"/>
      <c r="S1" s="2580"/>
      <c r="T1" s="2580"/>
      <c r="U1" s="2581"/>
    </row>
    <row r="2" spans="1:21" ht="19.5" customHeight="1">
      <c r="A2" s="2579" t="s">
        <v>472</v>
      </c>
      <c r="B2" s="2579"/>
      <c r="C2" s="2579"/>
      <c r="D2" s="2579"/>
      <c r="E2" s="2579"/>
      <c r="F2" s="2579"/>
      <c r="G2" s="2579"/>
      <c r="H2" s="2579" t="s">
        <v>640</v>
      </c>
      <c r="I2" s="2579"/>
      <c r="J2" s="2579"/>
      <c r="K2" s="2579"/>
      <c r="L2" s="2579"/>
      <c r="M2" s="2579"/>
      <c r="N2" s="2579"/>
      <c r="O2" s="2582" t="s">
        <v>2832</v>
      </c>
      <c r="P2" s="2579"/>
      <c r="Q2" s="2579"/>
      <c r="R2" s="2579"/>
      <c r="S2" s="2579"/>
      <c r="T2" s="2579"/>
      <c r="U2" s="2583"/>
    </row>
    <row r="3" spans="1:21" ht="19.5" customHeight="1">
      <c r="A3" s="2584" t="s">
        <v>294</v>
      </c>
      <c r="B3" s="2584"/>
      <c r="C3" s="2584"/>
      <c r="D3" s="2584"/>
      <c r="E3" s="2584"/>
      <c r="F3" s="2584"/>
      <c r="G3" s="2584"/>
      <c r="H3" s="2584" t="s">
        <v>668</v>
      </c>
      <c r="I3" s="2584"/>
      <c r="J3" s="2584"/>
      <c r="K3" s="2584"/>
      <c r="L3" s="2584"/>
      <c r="M3" s="2584"/>
      <c r="N3" s="2584"/>
      <c r="O3" s="2585" t="s">
        <v>808</v>
      </c>
      <c r="P3" s="2584"/>
      <c r="Q3" s="2584"/>
      <c r="R3" s="2584"/>
      <c r="S3" s="2586"/>
      <c r="T3" s="2584"/>
      <c r="U3" s="2587"/>
    </row>
    <row r="4" spans="1:21" s="345" customFormat="1" ht="120.75" customHeight="1">
      <c r="A4" s="2524" t="s">
        <v>520</v>
      </c>
      <c r="B4" s="2524" t="s">
        <v>305</v>
      </c>
      <c r="C4" s="2524" t="s">
        <v>306</v>
      </c>
      <c r="D4" s="2524" t="s">
        <v>296</v>
      </c>
      <c r="E4" s="111" t="s">
        <v>307</v>
      </c>
      <c r="F4" s="111" t="s">
        <v>301</v>
      </c>
      <c r="G4" s="2524" t="s">
        <v>308</v>
      </c>
      <c r="H4" s="2524" t="s">
        <v>520</v>
      </c>
      <c r="I4" s="2524" t="s">
        <v>305</v>
      </c>
      <c r="J4" s="2524" t="s">
        <v>306</v>
      </c>
      <c r="K4" s="2524" t="s">
        <v>296</v>
      </c>
      <c r="L4" s="111" t="s">
        <v>307</v>
      </c>
      <c r="M4" s="111" t="s">
        <v>301</v>
      </c>
      <c r="N4" s="2594" t="s">
        <v>308</v>
      </c>
      <c r="O4" s="2595" t="s">
        <v>688</v>
      </c>
      <c r="P4" s="2524" t="s">
        <v>305</v>
      </c>
      <c r="Q4" s="2524" t="s">
        <v>306</v>
      </c>
      <c r="R4" s="2524" t="s">
        <v>296</v>
      </c>
      <c r="S4" s="111" t="s">
        <v>307</v>
      </c>
      <c r="T4" s="111" t="s">
        <v>301</v>
      </c>
      <c r="U4" s="2591" t="s">
        <v>308</v>
      </c>
    </row>
    <row r="5" spans="1:21" s="345" customFormat="1" ht="59.25" customHeight="1">
      <c r="A5" s="2524"/>
      <c r="B5" s="2524"/>
      <c r="C5" s="2524"/>
      <c r="D5" s="2524"/>
      <c r="E5" s="111" t="s">
        <v>299</v>
      </c>
      <c r="F5" s="111" t="s">
        <v>299</v>
      </c>
      <c r="G5" s="2524"/>
      <c r="H5" s="2524"/>
      <c r="I5" s="2524"/>
      <c r="J5" s="2524"/>
      <c r="K5" s="2524"/>
      <c r="L5" s="111" t="s">
        <v>299</v>
      </c>
      <c r="M5" s="111" t="s">
        <v>299</v>
      </c>
      <c r="N5" s="2594"/>
      <c r="O5" s="2595"/>
      <c r="P5" s="2524"/>
      <c r="Q5" s="2524"/>
      <c r="R5" s="2524"/>
      <c r="S5" s="111" t="s">
        <v>299</v>
      </c>
      <c r="T5" s="111" t="s">
        <v>299</v>
      </c>
      <c r="U5" s="2591"/>
    </row>
    <row r="6" spans="1:21" s="349" customFormat="1" ht="26.25" customHeight="1">
      <c r="A6" s="2592" t="s">
        <v>309</v>
      </c>
      <c r="B6" s="2588"/>
      <c r="C6" s="327"/>
      <c r="D6" s="327"/>
      <c r="E6" s="327"/>
      <c r="F6" s="327"/>
      <c r="G6" s="346" t="s">
        <v>310</v>
      </c>
      <c r="H6" s="2592" t="s">
        <v>309</v>
      </c>
      <c r="I6" s="2588"/>
      <c r="J6" s="327"/>
      <c r="K6" s="327"/>
      <c r="L6" s="327"/>
      <c r="M6" s="327"/>
      <c r="N6" s="347" t="s">
        <v>310</v>
      </c>
      <c r="O6" s="2593" t="s">
        <v>310</v>
      </c>
      <c r="P6" s="2588"/>
      <c r="Q6" s="327"/>
      <c r="R6" s="327"/>
      <c r="S6" s="327"/>
      <c r="T6" s="327"/>
      <c r="U6" s="348" t="s">
        <v>309</v>
      </c>
    </row>
    <row r="7" spans="1:21" ht="30.75" customHeight="1">
      <c r="A7" s="324">
        <v>1</v>
      </c>
      <c r="B7" s="327" t="s">
        <v>311</v>
      </c>
      <c r="C7" s="327">
        <v>3</v>
      </c>
      <c r="D7" s="350">
        <v>12.48</v>
      </c>
      <c r="E7" s="350">
        <v>6.45</v>
      </c>
      <c r="F7" s="327">
        <v>52</v>
      </c>
      <c r="G7" s="351" t="s">
        <v>447</v>
      </c>
      <c r="H7" s="324">
        <v>1</v>
      </c>
      <c r="I7" s="327" t="s">
        <v>311</v>
      </c>
      <c r="J7" s="327">
        <v>3</v>
      </c>
      <c r="K7" s="350">
        <v>12.48</v>
      </c>
      <c r="L7" s="350">
        <v>4.83</v>
      </c>
      <c r="M7" s="326">
        <f>L7/K7*100</f>
        <v>38.70192307692308</v>
      </c>
      <c r="N7" s="352" t="s">
        <v>533</v>
      </c>
      <c r="O7" s="1525">
        <v>1</v>
      </c>
      <c r="P7" s="1526" t="s">
        <v>533</v>
      </c>
      <c r="Q7" s="1527">
        <v>3</v>
      </c>
      <c r="R7" s="1528">
        <v>12.475</v>
      </c>
      <c r="S7" s="1528">
        <v>4.819</v>
      </c>
      <c r="T7" s="1529">
        <f>S7/R7*100</f>
        <v>38.629258517034074</v>
      </c>
      <c r="U7" s="1530" t="s">
        <v>311</v>
      </c>
    </row>
    <row r="8" spans="1:21" ht="23.1" customHeight="1">
      <c r="A8" s="324">
        <v>2</v>
      </c>
      <c r="B8" s="327" t="s">
        <v>32</v>
      </c>
      <c r="C8" s="327">
        <v>1</v>
      </c>
      <c r="D8" s="350">
        <v>2.34</v>
      </c>
      <c r="E8" s="350">
        <v>0.93</v>
      </c>
      <c r="F8" s="327">
        <v>40</v>
      </c>
      <c r="G8" s="351" t="s">
        <v>448</v>
      </c>
      <c r="H8" s="324">
        <v>2</v>
      </c>
      <c r="I8" s="327" t="s">
        <v>32</v>
      </c>
      <c r="J8" s="327">
        <v>1</v>
      </c>
      <c r="K8" s="350">
        <v>2.34</v>
      </c>
      <c r="L8" s="350">
        <v>0.88</v>
      </c>
      <c r="M8" s="326">
        <f t="shared" ref="M8:M36" si="0">L8/K8*100</f>
        <v>37.606837606837615</v>
      </c>
      <c r="N8" s="352" t="s">
        <v>448</v>
      </c>
      <c r="O8" s="330">
        <v>2</v>
      </c>
      <c r="P8" s="351" t="s">
        <v>448</v>
      </c>
      <c r="Q8" s="353">
        <v>1</v>
      </c>
      <c r="R8" s="354">
        <v>2.3439999999999999</v>
      </c>
      <c r="S8" s="354">
        <v>0.84399999999999997</v>
      </c>
      <c r="T8" s="326">
        <f t="shared" ref="T8:T10" si="1">S8/R8*100</f>
        <v>36.006825938566557</v>
      </c>
      <c r="U8" s="1495" t="s">
        <v>32</v>
      </c>
    </row>
    <row r="9" spans="1:21" ht="23.1" customHeight="1">
      <c r="A9" s="324">
        <v>3</v>
      </c>
      <c r="B9" s="327" t="s">
        <v>33</v>
      </c>
      <c r="C9" s="327">
        <v>4</v>
      </c>
      <c r="D9" s="350">
        <v>4.3600000000000003</v>
      </c>
      <c r="E9" s="350">
        <v>2.09</v>
      </c>
      <c r="F9" s="327">
        <v>48</v>
      </c>
      <c r="G9" s="351" t="s">
        <v>449</v>
      </c>
      <c r="H9" s="324">
        <v>3</v>
      </c>
      <c r="I9" s="327" t="s">
        <v>33</v>
      </c>
      <c r="J9" s="327">
        <v>4</v>
      </c>
      <c r="K9" s="350">
        <v>4.3600000000000003</v>
      </c>
      <c r="L9" s="350">
        <v>1.76</v>
      </c>
      <c r="M9" s="326">
        <f t="shared" si="0"/>
        <v>40.366972477064216</v>
      </c>
      <c r="N9" s="352" t="s">
        <v>449</v>
      </c>
      <c r="O9" s="330">
        <v>3</v>
      </c>
      <c r="P9" s="351" t="s">
        <v>449</v>
      </c>
      <c r="Q9" s="353">
        <v>6</v>
      </c>
      <c r="R9" s="354">
        <v>4.8440000000000003</v>
      </c>
      <c r="S9" s="354">
        <v>2.2490000000000001</v>
      </c>
      <c r="T9" s="326">
        <f t="shared" si="1"/>
        <v>46.428571428571431</v>
      </c>
      <c r="U9" s="1495" t="s">
        <v>33</v>
      </c>
    </row>
    <row r="10" spans="1:21" s="360" customFormat="1" ht="23.1" customHeight="1">
      <c r="A10" s="2590" t="s">
        <v>312</v>
      </c>
      <c r="B10" s="2590"/>
      <c r="C10" s="355">
        <f>SUM(C7:C9)</f>
        <v>8</v>
      </c>
      <c r="D10" s="356">
        <f>SUM(D7:D9)</f>
        <v>19.18</v>
      </c>
      <c r="E10" s="356">
        <f>SUM(E7:E9)</f>
        <v>9.4699999999999989</v>
      </c>
      <c r="F10" s="355">
        <v>49</v>
      </c>
      <c r="G10" s="346" t="s">
        <v>313</v>
      </c>
      <c r="H10" s="2590" t="s">
        <v>312</v>
      </c>
      <c r="I10" s="2590"/>
      <c r="J10" s="355">
        <f>SUM(J7:J9)</f>
        <v>8</v>
      </c>
      <c r="K10" s="356">
        <v>19.170000000000002</v>
      </c>
      <c r="L10" s="356">
        <f>SUM(L7:L9)</f>
        <v>7.47</v>
      </c>
      <c r="M10" s="357">
        <f t="shared" si="0"/>
        <v>38.967136150234737</v>
      </c>
      <c r="N10" s="347" t="s">
        <v>313</v>
      </c>
      <c r="O10" s="2589" t="s">
        <v>313</v>
      </c>
      <c r="P10" s="2590"/>
      <c r="Q10" s="358">
        <f>SUM(Q7:Q9)</f>
        <v>10</v>
      </c>
      <c r="R10" s="359">
        <f t="shared" ref="R10:S10" si="2">SUM(R7:R9)</f>
        <v>19.663</v>
      </c>
      <c r="S10" s="359">
        <f t="shared" si="2"/>
        <v>7.9120000000000008</v>
      </c>
      <c r="T10" s="357">
        <f t="shared" si="1"/>
        <v>40.238010476529531</v>
      </c>
      <c r="U10" s="348" t="s">
        <v>312</v>
      </c>
    </row>
    <row r="11" spans="1:21" ht="23.1" customHeight="1">
      <c r="A11" s="2588" t="s">
        <v>314</v>
      </c>
      <c r="B11" s="2588"/>
      <c r="C11" s="327"/>
      <c r="D11" s="350"/>
      <c r="E11" s="350"/>
      <c r="F11" s="327"/>
      <c r="G11" s="346" t="s">
        <v>315</v>
      </c>
      <c r="H11" s="2588" t="s">
        <v>314</v>
      </c>
      <c r="I11" s="2588"/>
      <c r="J11" s="327"/>
      <c r="K11" s="350"/>
      <c r="L11" s="350"/>
      <c r="M11" s="357"/>
      <c r="N11" s="347" t="s">
        <v>315</v>
      </c>
      <c r="O11" s="2596" t="s">
        <v>315</v>
      </c>
      <c r="P11" s="2588"/>
      <c r="Q11" s="353"/>
      <c r="R11" s="350"/>
      <c r="S11" s="350"/>
      <c r="T11" s="357"/>
      <c r="U11" s="348" t="s">
        <v>314</v>
      </c>
    </row>
    <row r="12" spans="1:21" ht="23.1" customHeight="1">
      <c r="A12" s="324">
        <v>1</v>
      </c>
      <c r="B12" s="327" t="s">
        <v>27</v>
      </c>
      <c r="C12" s="327">
        <v>5</v>
      </c>
      <c r="D12" s="350">
        <v>1.79</v>
      </c>
      <c r="E12" s="350">
        <v>1.1299999999999999</v>
      </c>
      <c r="F12" s="327">
        <v>63</v>
      </c>
      <c r="G12" s="361" t="s">
        <v>450</v>
      </c>
      <c r="H12" s="324">
        <v>1</v>
      </c>
      <c r="I12" s="327" t="s">
        <v>27</v>
      </c>
      <c r="J12" s="327">
        <v>6</v>
      </c>
      <c r="K12" s="350">
        <v>2.0099999999999998</v>
      </c>
      <c r="L12" s="350">
        <v>1.0900000000000001</v>
      </c>
      <c r="M12" s="357">
        <f t="shared" si="0"/>
        <v>54.228855721393046</v>
      </c>
      <c r="N12" s="362" t="s">
        <v>450</v>
      </c>
      <c r="O12" s="330">
        <v>1</v>
      </c>
      <c r="P12" s="361" t="s">
        <v>450</v>
      </c>
      <c r="Q12" s="353">
        <v>6</v>
      </c>
      <c r="R12" s="354">
        <v>2.0119999999999996</v>
      </c>
      <c r="S12" s="354">
        <v>1.2120000000000002</v>
      </c>
      <c r="T12" s="326">
        <f>S12/R12*100</f>
        <v>60.238568588469207</v>
      </c>
      <c r="U12" s="1495" t="s">
        <v>27</v>
      </c>
    </row>
    <row r="13" spans="1:21" ht="23.1" customHeight="1">
      <c r="A13" s="324">
        <v>2</v>
      </c>
      <c r="B13" s="327" t="s">
        <v>9</v>
      </c>
      <c r="C13" s="327">
        <v>8</v>
      </c>
      <c r="D13" s="350">
        <v>15.33</v>
      </c>
      <c r="E13" s="350">
        <v>10.4</v>
      </c>
      <c r="F13" s="327">
        <v>68</v>
      </c>
      <c r="G13" s="351" t="s">
        <v>451</v>
      </c>
      <c r="H13" s="324">
        <v>2</v>
      </c>
      <c r="I13" s="327" t="s">
        <v>9</v>
      </c>
      <c r="J13" s="327">
        <v>10</v>
      </c>
      <c r="K13" s="350">
        <v>15.7</v>
      </c>
      <c r="L13" s="350">
        <v>9.4700000000000006</v>
      </c>
      <c r="M13" s="357">
        <f t="shared" si="0"/>
        <v>60.318471337579624</v>
      </c>
      <c r="N13" s="352" t="s">
        <v>451</v>
      </c>
      <c r="O13" s="330">
        <v>2</v>
      </c>
      <c r="P13" s="351" t="s">
        <v>451</v>
      </c>
      <c r="Q13" s="353">
        <v>10</v>
      </c>
      <c r="R13" s="354">
        <v>15.702</v>
      </c>
      <c r="S13" s="354">
        <v>9.5559999999999974</v>
      </c>
      <c r="T13" s="326">
        <f t="shared" ref="T13:T16" si="3">S13/R13*100</f>
        <v>60.858489364412158</v>
      </c>
      <c r="U13" s="1495" t="s">
        <v>9</v>
      </c>
    </row>
    <row r="14" spans="1:21" ht="23.1" customHeight="1">
      <c r="A14" s="324">
        <v>3</v>
      </c>
      <c r="B14" s="327" t="s">
        <v>316</v>
      </c>
      <c r="C14" s="327">
        <v>2</v>
      </c>
      <c r="D14" s="350">
        <v>1.39</v>
      </c>
      <c r="E14" s="350">
        <v>0.52</v>
      </c>
      <c r="F14" s="327">
        <v>37</v>
      </c>
      <c r="G14" s="351" t="s">
        <v>452</v>
      </c>
      <c r="H14" s="324">
        <v>3</v>
      </c>
      <c r="I14" s="327" t="s">
        <v>316</v>
      </c>
      <c r="J14" s="327">
        <v>2</v>
      </c>
      <c r="K14" s="350">
        <v>1.39</v>
      </c>
      <c r="L14" s="350">
        <v>0.54</v>
      </c>
      <c r="M14" s="357">
        <v>38</v>
      </c>
      <c r="N14" s="352" t="s">
        <v>452</v>
      </c>
      <c r="O14" s="330">
        <v>3</v>
      </c>
      <c r="P14" s="351" t="s">
        <v>452</v>
      </c>
      <c r="Q14" s="353">
        <v>2</v>
      </c>
      <c r="R14" s="354">
        <v>1.3940000000000001</v>
      </c>
      <c r="S14" s="354">
        <v>0.65700000000000003</v>
      </c>
      <c r="T14" s="326">
        <f t="shared" si="3"/>
        <v>47.130559540889521</v>
      </c>
      <c r="U14" s="1495" t="s">
        <v>316</v>
      </c>
    </row>
    <row r="15" spans="1:21" ht="23.1" customHeight="1">
      <c r="A15" s="324">
        <v>4</v>
      </c>
      <c r="B15" s="327" t="s">
        <v>34</v>
      </c>
      <c r="C15" s="327">
        <v>1</v>
      </c>
      <c r="D15" s="350">
        <v>0.31</v>
      </c>
      <c r="E15" s="350">
        <v>0.13</v>
      </c>
      <c r="F15" s="327">
        <v>42</v>
      </c>
      <c r="G15" s="351" t="s">
        <v>453</v>
      </c>
      <c r="H15" s="324">
        <v>4</v>
      </c>
      <c r="I15" s="327" t="s">
        <v>34</v>
      </c>
      <c r="J15" s="327">
        <v>1</v>
      </c>
      <c r="K15" s="350">
        <v>0.31</v>
      </c>
      <c r="L15" s="350">
        <v>0.09</v>
      </c>
      <c r="M15" s="357">
        <v>27</v>
      </c>
      <c r="N15" s="352" t="s">
        <v>453</v>
      </c>
      <c r="O15" s="330">
        <v>4</v>
      </c>
      <c r="P15" s="351" t="s">
        <v>453</v>
      </c>
      <c r="Q15" s="353">
        <v>1</v>
      </c>
      <c r="R15" s="354">
        <v>0.312</v>
      </c>
      <c r="S15" s="354">
        <v>0.126</v>
      </c>
      <c r="T15" s="326">
        <f>S15/R15*100</f>
        <v>40.384615384615387</v>
      </c>
      <c r="U15" s="1495" t="s">
        <v>34</v>
      </c>
    </row>
    <row r="16" spans="1:21" ht="23.1" customHeight="1">
      <c r="A16" s="324">
        <v>5</v>
      </c>
      <c r="B16" s="327" t="s">
        <v>31</v>
      </c>
      <c r="C16" s="327">
        <v>1</v>
      </c>
      <c r="D16" s="350">
        <v>0.54</v>
      </c>
      <c r="E16" s="350">
        <v>0.27</v>
      </c>
      <c r="F16" s="327">
        <v>50</v>
      </c>
      <c r="G16" s="351" t="s">
        <v>454</v>
      </c>
      <c r="H16" s="324">
        <v>5</v>
      </c>
      <c r="I16" s="327" t="s">
        <v>31</v>
      </c>
      <c r="J16" s="327">
        <v>1</v>
      </c>
      <c r="K16" s="350">
        <v>0.54</v>
      </c>
      <c r="L16" s="350">
        <v>0.24</v>
      </c>
      <c r="M16" s="357">
        <f t="shared" si="0"/>
        <v>44.444444444444443</v>
      </c>
      <c r="N16" s="352" t="s">
        <v>454</v>
      </c>
      <c r="O16" s="330">
        <v>5</v>
      </c>
      <c r="P16" s="351" t="s">
        <v>454</v>
      </c>
      <c r="Q16" s="353">
        <v>1</v>
      </c>
      <c r="R16" s="354">
        <v>0.53500000000000003</v>
      </c>
      <c r="S16" s="354">
        <v>0.23799999999999999</v>
      </c>
      <c r="T16" s="326">
        <f t="shared" si="3"/>
        <v>44.485981308411212</v>
      </c>
      <c r="U16" s="1495" t="s">
        <v>31</v>
      </c>
    </row>
    <row r="17" spans="1:21" s="360" customFormat="1" ht="23.1" customHeight="1">
      <c r="A17" s="2590" t="s">
        <v>312</v>
      </c>
      <c r="B17" s="2590"/>
      <c r="C17" s="355">
        <f>SUM(C12:C16)</f>
        <v>17</v>
      </c>
      <c r="D17" s="356">
        <f>SUM(D12:D16)</f>
        <v>19.36</v>
      </c>
      <c r="E17" s="356">
        <f>SUM(E12:E16)</f>
        <v>12.450000000000001</v>
      </c>
      <c r="F17" s="355">
        <v>64</v>
      </c>
      <c r="G17" s="346" t="s">
        <v>313</v>
      </c>
      <c r="H17" s="2590" t="s">
        <v>312</v>
      </c>
      <c r="I17" s="2590"/>
      <c r="J17" s="355">
        <f>SUM(J12:J16)</f>
        <v>20</v>
      </c>
      <c r="K17" s="356">
        <v>19.96</v>
      </c>
      <c r="L17" s="356">
        <v>11.41</v>
      </c>
      <c r="M17" s="357">
        <f t="shared" si="0"/>
        <v>57.16432865731462</v>
      </c>
      <c r="N17" s="347" t="s">
        <v>313</v>
      </c>
      <c r="O17" s="330">
        <v>6</v>
      </c>
      <c r="P17" s="351" t="s">
        <v>809</v>
      </c>
      <c r="Q17" s="353">
        <v>1</v>
      </c>
      <c r="R17" s="354">
        <v>0.13600000000000001</v>
      </c>
      <c r="S17" s="354">
        <v>4.2000000000000003E-2</v>
      </c>
      <c r="T17" s="326">
        <f>S17/R17*100</f>
        <v>30.882352941176471</v>
      </c>
      <c r="U17" s="1495" t="s">
        <v>22</v>
      </c>
    </row>
    <row r="18" spans="1:21" ht="23.1" customHeight="1">
      <c r="A18" s="2588" t="s">
        <v>317</v>
      </c>
      <c r="B18" s="2588"/>
      <c r="C18" s="327"/>
      <c r="D18" s="350"/>
      <c r="E18" s="350"/>
      <c r="F18" s="327"/>
      <c r="G18" s="346" t="s">
        <v>318</v>
      </c>
      <c r="H18" s="2588" t="s">
        <v>317</v>
      </c>
      <c r="I18" s="2588"/>
      <c r="J18" s="327"/>
      <c r="K18" s="350"/>
      <c r="L18" s="350"/>
      <c r="M18" s="357"/>
      <c r="N18" s="347" t="s">
        <v>318</v>
      </c>
      <c r="O18" s="2589" t="s">
        <v>313</v>
      </c>
      <c r="P18" s="2590"/>
      <c r="Q18" s="358">
        <f>SUM(Q12:Q17)</f>
        <v>21</v>
      </c>
      <c r="R18" s="363">
        <f t="shared" ref="R18:S18" si="4">SUM(R12:R17)</f>
        <v>20.090999999999998</v>
      </c>
      <c r="S18" s="363">
        <f t="shared" si="4"/>
        <v>11.830999999999996</v>
      </c>
      <c r="T18" s="326">
        <f>S18/R18*100</f>
        <v>58.887063859439536</v>
      </c>
      <c r="U18" s="348" t="s">
        <v>312</v>
      </c>
    </row>
    <row r="19" spans="1:21" ht="23.1" customHeight="1">
      <c r="A19" s="324">
        <v>1</v>
      </c>
      <c r="B19" s="327" t="s">
        <v>17</v>
      </c>
      <c r="C19" s="327">
        <v>17</v>
      </c>
      <c r="D19" s="350">
        <v>17.96</v>
      </c>
      <c r="E19" s="350">
        <v>7.99</v>
      </c>
      <c r="F19" s="327">
        <v>44</v>
      </c>
      <c r="G19" s="351" t="s">
        <v>455</v>
      </c>
      <c r="H19" s="324">
        <v>1</v>
      </c>
      <c r="I19" s="327" t="s">
        <v>17</v>
      </c>
      <c r="J19" s="327">
        <v>17</v>
      </c>
      <c r="K19" s="350">
        <v>17.96</v>
      </c>
      <c r="L19" s="350">
        <v>6.79</v>
      </c>
      <c r="M19" s="357">
        <f t="shared" si="0"/>
        <v>37.806236080178174</v>
      </c>
      <c r="N19" s="352" t="s">
        <v>455</v>
      </c>
      <c r="O19" s="2596" t="s">
        <v>318</v>
      </c>
      <c r="P19" s="2588"/>
      <c r="Q19" s="353"/>
      <c r="R19" s="350"/>
      <c r="S19" s="350"/>
      <c r="T19" s="357"/>
      <c r="U19" s="348" t="s">
        <v>317</v>
      </c>
    </row>
    <row r="20" spans="1:21" ht="23.1" customHeight="1">
      <c r="A20" s="324">
        <v>2</v>
      </c>
      <c r="B20" s="327" t="s">
        <v>319</v>
      </c>
      <c r="C20" s="327">
        <v>24</v>
      </c>
      <c r="D20" s="350">
        <v>16.88</v>
      </c>
      <c r="E20" s="350">
        <v>9.91</v>
      </c>
      <c r="F20" s="327">
        <v>59</v>
      </c>
      <c r="G20" s="351" t="s">
        <v>456</v>
      </c>
      <c r="H20" s="324">
        <v>2</v>
      </c>
      <c r="I20" s="327" t="s">
        <v>319</v>
      </c>
      <c r="J20" s="327">
        <v>25</v>
      </c>
      <c r="K20" s="350">
        <v>17.27</v>
      </c>
      <c r="L20" s="350">
        <v>8.2100000000000009</v>
      </c>
      <c r="M20" s="357">
        <f t="shared" si="0"/>
        <v>47.539085118702964</v>
      </c>
      <c r="N20" s="352" t="s">
        <v>456</v>
      </c>
      <c r="O20" s="330">
        <v>1</v>
      </c>
      <c r="P20" s="351" t="s">
        <v>455</v>
      </c>
      <c r="Q20" s="353">
        <v>17</v>
      </c>
      <c r="R20" s="354">
        <v>17.964000000000002</v>
      </c>
      <c r="S20" s="354">
        <v>7.520999999999999</v>
      </c>
      <c r="T20" s="357">
        <f t="shared" ref="T20:T28" si="5">S20/R20*100</f>
        <v>41.867067468269866</v>
      </c>
      <c r="U20" s="1495" t="s">
        <v>17</v>
      </c>
    </row>
    <row r="21" spans="1:21" s="360" customFormat="1" ht="23.1" customHeight="1">
      <c r="A21" s="2590" t="s">
        <v>312</v>
      </c>
      <c r="B21" s="2590"/>
      <c r="C21" s="355">
        <f>SUM(C19:C20)</f>
        <v>41</v>
      </c>
      <c r="D21" s="356">
        <f>SUM(D19:D20)</f>
        <v>34.840000000000003</v>
      </c>
      <c r="E21" s="356">
        <f>SUM(E19:E20)</f>
        <v>17.899999999999999</v>
      </c>
      <c r="F21" s="355">
        <v>51</v>
      </c>
      <c r="G21" s="346" t="s">
        <v>313</v>
      </c>
      <c r="H21" s="2590" t="s">
        <v>312</v>
      </c>
      <c r="I21" s="2590"/>
      <c r="J21" s="355">
        <f>SUM(J19:J20)</f>
        <v>42</v>
      </c>
      <c r="K21" s="356">
        <v>35.24</v>
      </c>
      <c r="L21" s="356">
        <f>SUM(L19:L20)</f>
        <v>15</v>
      </c>
      <c r="M21" s="357">
        <f t="shared" si="0"/>
        <v>42.565266742338245</v>
      </c>
      <c r="N21" s="347" t="s">
        <v>313</v>
      </c>
      <c r="O21" s="330">
        <v>2</v>
      </c>
      <c r="P21" s="351" t="s">
        <v>456</v>
      </c>
      <c r="Q21" s="353">
        <v>29</v>
      </c>
      <c r="R21" s="354">
        <v>18.444999999999997</v>
      </c>
      <c r="S21" s="354">
        <v>9.7039999999999988</v>
      </c>
      <c r="T21" s="357">
        <f t="shared" si="5"/>
        <v>52.610463540254813</v>
      </c>
      <c r="U21" s="1495" t="s">
        <v>319</v>
      </c>
    </row>
    <row r="22" spans="1:21" ht="23.1" customHeight="1">
      <c r="A22" s="2588" t="s">
        <v>320</v>
      </c>
      <c r="B22" s="2588"/>
      <c r="C22" s="327"/>
      <c r="D22" s="350"/>
      <c r="E22" s="350"/>
      <c r="F22" s="327"/>
      <c r="G22" s="346" t="s">
        <v>321</v>
      </c>
      <c r="H22" s="2588" t="s">
        <v>320</v>
      </c>
      <c r="I22" s="2588"/>
      <c r="J22" s="327"/>
      <c r="K22" s="350"/>
      <c r="L22" s="350"/>
      <c r="M22" s="357"/>
      <c r="N22" s="347" t="s">
        <v>321</v>
      </c>
      <c r="O22" s="2589" t="s">
        <v>313</v>
      </c>
      <c r="P22" s="2590"/>
      <c r="Q22" s="358">
        <f>SUM(Q20:Q21)</f>
        <v>46</v>
      </c>
      <c r="R22" s="363">
        <f>SUM(R20:R21)</f>
        <v>36.408999999999999</v>
      </c>
      <c r="S22" s="364">
        <f>SUM(S20:S21)</f>
        <v>17.224999999999998</v>
      </c>
      <c r="T22" s="357">
        <f t="shared" si="5"/>
        <v>47.309731110439721</v>
      </c>
      <c r="U22" s="348" t="s">
        <v>312</v>
      </c>
    </row>
    <row r="23" spans="1:21" ht="23.1" customHeight="1">
      <c r="A23" s="324">
        <v>1</v>
      </c>
      <c r="B23" s="327" t="s">
        <v>35</v>
      </c>
      <c r="C23" s="327">
        <v>4</v>
      </c>
      <c r="D23" s="350">
        <v>6.83</v>
      </c>
      <c r="E23" s="350">
        <v>2.85</v>
      </c>
      <c r="F23" s="327">
        <v>42</v>
      </c>
      <c r="G23" s="351" t="s">
        <v>457</v>
      </c>
      <c r="H23" s="324">
        <v>1</v>
      </c>
      <c r="I23" s="327" t="s">
        <v>35</v>
      </c>
      <c r="J23" s="327">
        <v>8</v>
      </c>
      <c r="K23" s="350">
        <v>7.6</v>
      </c>
      <c r="L23" s="350">
        <v>2.4700000000000002</v>
      </c>
      <c r="M23" s="357">
        <v>32</v>
      </c>
      <c r="N23" s="352" t="s">
        <v>457</v>
      </c>
      <c r="O23" s="2596" t="s">
        <v>321</v>
      </c>
      <c r="P23" s="2588"/>
      <c r="Q23" s="353"/>
      <c r="R23" s="350"/>
      <c r="S23" s="350"/>
      <c r="T23" s="357"/>
      <c r="U23" s="348" t="s">
        <v>320</v>
      </c>
    </row>
    <row r="24" spans="1:21" ht="23.1" customHeight="1">
      <c r="A24" s="324">
        <v>2</v>
      </c>
      <c r="B24" s="327" t="s">
        <v>322</v>
      </c>
      <c r="C24" s="327">
        <v>2</v>
      </c>
      <c r="D24" s="350">
        <v>4.8099999999999996</v>
      </c>
      <c r="E24" s="350">
        <v>2.95</v>
      </c>
      <c r="F24" s="327">
        <v>61</v>
      </c>
      <c r="G24" s="351" t="s">
        <v>458</v>
      </c>
      <c r="H24" s="324">
        <v>2</v>
      </c>
      <c r="I24" s="327" t="s">
        <v>322</v>
      </c>
      <c r="J24" s="327">
        <v>2</v>
      </c>
      <c r="K24" s="350">
        <v>4.8099999999999996</v>
      </c>
      <c r="L24" s="350">
        <v>2.3199999999999998</v>
      </c>
      <c r="M24" s="357">
        <f t="shared" si="0"/>
        <v>48.232848232848234</v>
      </c>
      <c r="N24" s="352" t="s">
        <v>458</v>
      </c>
      <c r="O24" s="330">
        <v>1</v>
      </c>
      <c r="P24" s="351" t="s">
        <v>457</v>
      </c>
      <c r="Q24" s="353">
        <v>8</v>
      </c>
      <c r="R24" s="354">
        <v>7.6560000000000015</v>
      </c>
      <c r="S24" s="354">
        <v>2.7309999999999999</v>
      </c>
      <c r="T24" s="357">
        <f t="shared" si="5"/>
        <v>35.671368861024028</v>
      </c>
      <c r="U24" s="1495" t="s">
        <v>35</v>
      </c>
    </row>
    <row r="25" spans="1:21" ht="23.1" customHeight="1">
      <c r="A25" s="324">
        <v>3</v>
      </c>
      <c r="B25" s="327" t="s">
        <v>18</v>
      </c>
      <c r="C25" s="327">
        <v>9</v>
      </c>
      <c r="D25" s="350">
        <v>28.4</v>
      </c>
      <c r="E25" s="350">
        <v>14.54</v>
      </c>
      <c r="F25" s="327">
        <v>51</v>
      </c>
      <c r="G25" s="351" t="s">
        <v>459</v>
      </c>
      <c r="H25" s="324">
        <v>3</v>
      </c>
      <c r="I25" s="327" t="s">
        <v>18</v>
      </c>
      <c r="J25" s="327">
        <v>9</v>
      </c>
      <c r="K25" s="350">
        <v>28.4</v>
      </c>
      <c r="L25" s="350">
        <v>12.6</v>
      </c>
      <c r="M25" s="357">
        <f t="shared" si="0"/>
        <v>44.366197183098592</v>
      </c>
      <c r="N25" s="352" t="s">
        <v>459</v>
      </c>
      <c r="O25" s="330">
        <v>2</v>
      </c>
      <c r="P25" s="351" t="s">
        <v>458</v>
      </c>
      <c r="Q25" s="353">
        <v>3</v>
      </c>
      <c r="R25" s="354">
        <v>4.9870000000000001</v>
      </c>
      <c r="S25" s="354">
        <v>2.3149999999999999</v>
      </c>
      <c r="T25" s="357">
        <f t="shared" si="5"/>
        <v>46.42069380389011</v>
      </c>
      <c r="U25" s="1495" t="s">
        <v>322</v>
      </c>
    </row>
    <row r="26" spans="1:21" ht="23.1" customHeight="1">
      <c r="A26" s="324">
        <v>4</v>
      </c>
      <c r="B26" s="327" t="s">
        <v>323</v>
      </c>
      <c r="C26" s="327">
        <v>3</v>
      </c>
      <c r="D26" s="350">
        <v>4.0999999999999996</v>
      </c>
      <c r="E26" s="350">
        <v>2.65</v>
      </c>
      <c r="F26" s="327">
        <v>65</v>
      </c>
      <c r="G26" s="361" t="s">
        <v>460</v>
      </c>
      <c r="H26" s="324">
        <v>4</v>
      </c>
      <c r="I26" s="327" t="s">
        <v>323</v>
      </c>
      <c r="J26" s="327">
        <v>4</v>
      </c>
      <c r="K26" s="350">
        <v>4.41</v>
      </c>
      <c r="L26" s="350">
        <v>2.74</v>
      </c>
      <c r="M26" s="357">
        <f t="shared" si="0"/>
        <v>62.131519274376423</v>
      </c>
      <c r="N26" s="362" t="s">
        <v>460</v>
      </c>
      <c r="O26" s="330">
        <v>3</v>
      </c>
      <c r="P26" s="351" t="s">
        <v>459</v>
      </c>
      <c r="Q26" s="353">
        <v>11</v>
      </c>
      <c r="R26" s="354">
        <v>31.175000000000001</v>
      </c>
      <c r="S26" s="354">
        <v>16.152000000000001</v>
      </c>
      <c r="T26" s="357">
        <f t="shared" si="5"/>
        <v>51.810745789895748</v>
      </c>
      <c r="U26" s="1495" t="s">
        <v>18</v>
      </c>
    </row>
    <row r="27" spans="1:21" s="360" customFormat="1" ht="23.1" customHeight="1">
      <c r="A27" s="2590" t="s">
        <v>312</v>
      </c>
      <c r="B27" s="2590"/>
      <c r="C27" s="355">
        <f>SUM(C23:C26)</f>
        <v>18</v>
      </c>
      <c r="D27" s="356">
        <f>SUM(D23:D26)</f>
        <v>44.14</v>
      </c>
      <c r="E27" s="356">
        <f>SUM(E23:E26)</f>
        <v>22.99</v>
      </c>
      <c r="F27" s="355">
        <v>52</v>
      </c>
      <c r="G27" s="346" t="s">
        <v>313</v>
      </c>
      <c r="H27" s="2590" t="s">
        <v>312</v>
      </c>
      <c r="I27" s="2590"/>
      <c r="J27" s="355">
        <f>SUM(J23:J26)</f>
        <v>23</v>
      </c>
      <c r="K27" s="356">
        <v>45.27</v>
      </c>
      <c r="L27" s="356">
        <f>SUM(L23:L26)</f>
        <v>20.130000000000003</v>
      </c>
      <c r="M27" s="357">
        <f t="shared" si="0"/>
        <v>44.46653412856196</v>
      </c>
      <c r="N27" s="347" t="s">
        <v>313</v>
      </c>
      <c r="O27" s="330">
        <v>4</v>
      </c>
      <c r="P27" s="361" t="s">
        <v>460</v>
      </c>
      <c r="Q27" s="353">
        <v>4</v>
      </c>
      <c r="R27" s="354">
        <v>4.4089999999999998</v>
      </c>
      <c r="S27" s="354">
        <v>2.895</v>
      </c>
      <c r="T27" s="357">
        <f t="shared" si="5"/>
        <v>65.661147652528911</v>
      </c>
      <c r="U27" s="1495" t="s">
        <v>323</v>
      </c>
    </row>
    <row r="28" spans="1:21" s="360" customFormat="1" ht="23.1" customHeight="1" thickBot="1">
      <c r="A28" s="2588" t="s">
        <v>324</v>
      </c>
      <c r="B28" s="2588"/>
      <c r="C28" s="355"/>
      <c r="D28" s="356"/>
      <c r="E28" s="356"/>
      <c r="F28" s="355"/>
      <c r="G28" s="346" t="s">
        <v>325</v>
      </c>
      <c r="H28" s="2588" t="s">
        <v>324</v>
      </c>
      <c r="I28" s="2588"/>
      <c r="J28" s="355"/>
      <c r="K28" s="356"/>
      <c r="L28" s="356"/>
      <c r="M28" s="357"/>
      <c r="N28" s="347" t="s">
        <v>325</v>
      </c>
      <c r="O28" s="2597" t="s">
        <v>313</v>
      </c>
      <c r="P28" s="2598"/>
      <c r="Q28" s="1680">
        <f>SUM(Q24:Q27)</f>
        <v>26</v>
      </c>
      <c r="R28" s="1681">
        <f>SUM(R24:R27)</f>
        <v>48.226999999999997</v>
      </c>
      <c r="S28" s="1682">
        <f>SUM(S24:S27)</f>
        <v>24.093</v>
      </c>
      <c r="T28" s="1683">
        <f t="shared" si="5"/>
        <v>49.957492690816352</v>
      </c>
      <c r="U28" s="1684" t="s">
        <v>312</v>
      </c>
    </row>
    <row r="29" spans="1:21" ht="35.1" customHeight="1" thickTop="1">
      <c r="A29" s="324">
        <v>1</v>
      </c>
      <c r="B29" s="365" t="s">
        <v>326</v>
      </c>
      <c r="C29" s="327">
        <v>2</v>
      </c>
      <c r="D29" s="350">
        <v>13.4</v>
      </c>
      <c r="E29" s="350">
        <v>5.05</v>
      </c>
      <c r="F29" s="327">
        <v>38</v>
      </c>
      <c r="G29" s="351" t="s">
        <v>327</v>
      </c>
      <c r="H29" s="324">
        <v>1</v>
      </c>
      <c r="I29" s="365" t="s">
        <v>326</v>
      </c>
      <c r="J29" s="327">
        <v>2</v>
      </c>
      <c r="K29" s="350">
        <v>13.4</v>
      </c>
      <c r="L29" s="350">
        <v>2.97</v>
      </c>
      <c r="M29" s="357">
        <f t="shared" si="0"/>
        <v>22.164179104477615</v>
      </c>
      <c r="N29" s="352" t="s">
        <v>327</v>
      </c>
      <c r="O29" s="2601" t="s">
        <v>325</v>
      </c>
      <c r="P29" s="2602"/>
      <c r="Q29" s="1676"/>
      <c r="R29" s="1677"/>
      <c r="S29" s="1677"/>
      <c r="T29" s="1678"/>
      <c r="U29" s="1679" t="s">
        <v>324</v>
      </c>
    </row>
    <row r="30" spans="1:21" ht="30.75" customHeight="1">
      <c r="A30" s="324">
        <v>2</v>
      </c>
      <c r="B30" s="327" t="s">
        <v>328</v>
      </c>
      <c r="C30" s="327">
        <v>2</v>
      </c>
      <c r="D30" s="350">
        <v>2.5</v>
      </c>
      <c r="E30" s="350">
        <v>1.44</v>
      </c>
      <c r="F30" s="327">
        <v>57</v>
      </c>
      <c r="G30" s="351" t="s">
        <v>329</v>
      </c>
      <c r="H30" s="324">
        <v>2</v>
      </c>
      <c r="I30" s="327" t="s">
        <v>328</v>
      </c>
      <c r="J30" s="327">
        <v>3</v>
      </c>
      <c r="K30" s="350">
        <v>4.29</v>
      </c>
      <c r="L30" s="350">
        <v>1.57</v>
      </c>
      <c r="M30" s="357">
        <v>36</v>
      </c>
      <c r="N30" s="352" t="s">
        <v>329</v>
      </c>
      <c r="O30" s="330">
        <v>1</v>
      </c>
      <c r="P30" s="351" t="s">
        <v>327</v>
      </c>
      <c r="Q30" s="353">
        <v>2</v>
      </c>
      <c r="R30" s="354">
        <v>11.120999999999999</v>
      </c>
      <c r="S30" s="354">
        <v>2.9000000000000004</v>
      </c>
      <c r="T30" s="357">
        <f t="shared" ref="T30:T37" si="6">S30/R30*100</f>
        <v>26.076791655426678</v>
      </c>
      <c r="U30" s="1496" t="s">
        <v>326</v>
      </c>
    </row>
    <row r="31" spans="1:21" ht="23.1" customHeight="1">
      <c r="A31" s="324">
        <v>3</v>
      </c>
      <c r="B31" s="327" t="s">
        <v>39</v>
      </c>
      <c r="C31" s="327">
        <v>4</v>
      </c>
      <c r="D31" s="350">
        <v>4.2300000000000004</v>
      </c>
      <c r="E31" s="350">
        <v>2.1</v>
      </c>
      <c r="F31" s="327">
        <v>50</v>
      </c>
      <c r="G31" s="361" t="s">
        <v>218</v>
      </c>
      <c r="H31" s="324">
        <v>3</v>
      </c>
      <c r="I31" s="327" t="s">
        <v>39</v>
      </c>
      <c r="J31" s="327">
        <v>4</v>
      </c>
      <c r="K31" s="350">
        <v>4.2300000000000004</v>
      </c>
      <c r="L31" s="350">
        <v>1.59</v>
      </c>
      <c r="M31" s="357">
        <f t="shared" si="0"/>
        <v>37.588652482269502</v>
      </c>
      <c r="N31" s="362" t="s">
        <v>218</v>
      </c>
      <c r="O31" s="330">
        <v>2</v>
      </c>
      <c r="P31" s="351" t="s">
        <v>329</v>
      </c>
      <c r="Q31" s="353">
        <v>4</v>
      </c>
      <c r="R31" s="354">
        <v>4.67</v>
      </c>
      <c r="S31" s="354">
        <v>2.0659999999999998</v>
      </c>
      <c r="T31" s="357">
        <f t="shared" si="6"/>
        <v>44.239828693790145</v>
      </c>
      <c r="U31" s="1495" t="s">
        <v>328</v>
      </c>
    </row>
    <row r="32" spans="1:21" ht="23.1" customHeight="1">
      <c r="A32" s="324">
        <v>4</v>
      </c>
      <c r="B32" s="327" t="s">
        <v>28</v>
      </c>
      <c r="C32" s="327">
        <v>16</v>
      </c>
      <c r="D32" s="350">
        <v>24.63</v>
      </c>
      <c r="E32" s="350">
        <v>12.3</v>
      </c>
      <c r="F32" s="327">
        <v>50</v>
      </c>
      <c r="G32" s="351" t="s">
        <v>461</v>
      </c>
      <c r="H32" s="324">
        <v>4</v>
      </c>
      <c r="I32" s="327" t="s">
        <v>28</v>
      </c>
      <c r="J32" s="327">
        <v>16</v>
      </c>
      <c r="K32" s="350">
        <v>24.63</v>
      </c>
      <c r="L32" s="350">
        <v>8.58</v>
      </c>
      <c r="M32" s="357">
        <f t="shared" si="0"/>
        <v>34.835566382460414</v>
      </c>
      <c r="N32" s="352" t="s">
        <v>461</v>
      </c>
      <c r="O32" s="330">
        <v>3</v>
      </c>
      <c r="P32" s="361" t="s">
        <v>218</v>
      </c>
      <c r="Q32" s="353">
        <v>5</v>
      </c>
      <c r="R32" s="354">
        <v>4.3929999999999998</v>
      </c>
      <c r="S32" s="354">
        <v>1.956</v>
      </c>
      <c r="T32" s="357">
        <f t="shared" si="6"/>
        <v>44.525381288413385</v>
      </c>
      <c r="U32" s="1495" t="s">
        <v>39</v>
      </c>
    </row>
    <row r="33" spans="1:21" ht="23.1" customHeight="1">
      <c r="A33" s="324">
        <v>5</v>
      </c>
      <c r="B33" s="327" t="s">
        <v>6</v>
      </c>
      <c r="C33" s="327">
        <v>6</v>
      </c>
      <c r="D33" s="350">
        <v>3.83</v>
      </c>
      <c r="E33" s="350">
        <v>2.44</v>
      </c>
      <c r="F33" s="327">
        <v>64</v>
      </c>
      <c r="G33" s="351" t="s">
        <v>462</v>
      </c>
      <c r="H33" s="324">
        <v>5</v>
      </c>
      <c r="I33" s="327" t="s">
        <v>6</v>
      </c>
      <c r="J33" s="327">
        <v>6</v>
      </c>
      <c r="K33" s="350">
        <v>3.83</v>
      </c>
      <c r="L33" s="350">
        <v>1.88</v>
      </c>
      <c r="M33" s="357">
        <f t="shared" si="0"/>
        <v>49.086161879895556</v>
      </c>
      <c r="N33" s="352" t="s">
        <v>462</v>
      </c>
      <c r="O33" s="330">
        <v>4</v>
      </c>
      <c r="P33" s="351" t="s">
        <v>461</v>
      </c>
      <c r="Q33" s="353">
        <v>16</v>
      </c>
      <c r="R33" s="354">
        <v>24.624999999999996</v>
      </c>
      <c r="S33" s="354">
        <v>9.9089999999999989</v>
      </c>
      <c r="T33" s="357">
        <f t="shared" si="6"/>
        <v>40.239593908629445</v>
      </c>
      <c r="U33" s="1495" t="s">
        <v>28</v>
      </c>
    </row>
    <row r="34" spans="1:21" ht="23.1" customHeight="1">
      <c r="A34" s="324">
        <v>6</v>
      </c>
      <c r="B34" s="327" t="s">
        <v>330</v>
      </c>
      <c r="C34" s="327">
        <v>6</v>
      </c>
      <c r="D34" s="350">
        <v>4.2300000000000004</v>
      </c>
      <c r="E34" s="350">
        <v>1.85</v>
      </c>
      <c r="F34" s="327">
        <v>44</v>
      </c>
      <c r="G34" s="351" t="s">
        <v>463</v>
      </c>
      <c r="H34" s="324">
        <v>6</v>
      </c>
      <c r="I34" s="327" t="s">
        <v>330</v>
      </c>
      <c r="J34" s="327">
        <v>6</v>
      </c>
      <c r="K34" s="350">
        <v>4.2300000000000004</v>
      </c>
      <c r="L34" s="350">
        <v>1.42</v>
      </c>
      <c r="M34" s="357">
        <f t="shared" si="0"/>
        <v>33.56973995271867</v>
      </c>
      <c r="N34" s="352" t="s">
        <v>463</v>
      </c>
      <c r="O34" s="330">
        <v>5</v>
      </c>
      <c r="P34" s="351" t="s">
        <v>462</v>
      </c>
      <c r="Q34" s="353">
        <v>6</v>
      </c>
      <c r="R34" s="354">
        <v>3.8290000000000002</v>
      </c>
      <c r="S34" s="354">
        <v>2.0180000000000002</v>
      </c>
      <c r="T34" s="357">
        <f t="shared" si="6"/>
        <v>52.703055628101339</v>
      </c>
      <c r="U34" s="1495" t="s">
        <v>6</v>
      </c>
    </row>
    <row r="35" spans="1:21" s="360" customFormat="1" ht="23.1" customHeight="1">
      <c r="A35" s="2590" t="s">
        <v>312</v>
      </c>
      <c r="B35" s="2590"/>
      <c r="C35" s="355">
        <f>SUM(C29:C34)</f>
        <v>36</v>
      </c>
      <c r="D35" s="356">
        <f>SUM(D29:D34)</f>
        <v>52.820000000000007</v>
      </c>
      <c r="E35" s="356">
        <f>SUM(E29:E34)</f>
        <v>25.180000000000003</v>
      </c>
      <c r="F35" s="355">
        <v>48</v>
      </c>
      <c r="G35" s="346" t="s">
        <v>313</v>
      </c>
      <c r="H35" s="2590" t="s">
        <v>312</v>
      </c>
      <c r="I35" s="2590"/>
      <c r="J35" s="355">
        <f>SUM(J29:J34)</f>
        <v>37</v>
      </c>
      <c r="K35" s="356">
        <v>54.6</v>
      </c>
      <c r="L35" s="356">
        <f>SUM(L29:L34)</f>
        <v>18.009999999999998</v>
      </c>
      <c r="M35" s="357">
        <f t="shared" si="0"/>
        <v>32.985347985347978</v>
      </c>
      <c r="N35" s="347" t="s">
        <v>313</v>
      </c>
      <c r="O35" s="330">
        <v>6</v>
      </c>
      <c r="P35" s="351" t="s">
        <v>463</v>
      </c>
      <c r="Q35" s="353">
        <v>7</v>
      </c>
      <c r="R35" s="354">
        <v>4.4359999999999999</v>
      </c>
      <c r="S35" s="354">
        <v>1.7319999999999998</v>
      </c>
      <c r="T35" s="357">
        <f t="shared" si="6"/>
        <v>39.044183949504053</v>
      </c>
      <c r="U35" s="1495" t="s">
        <v>330</v>
      </c>
    </row>
    <row r="36" spans="1:21" s="360" customFormat="1" ht="23.1" customHeight="1">
      <c r="A36" s="2603" t="s">
        <v>331</v>
      </c>
      <c r="B36" s="2600"/>
      <c r="C36" s="355">
        <v>120</v>
      </c>
      <c r="D36" s="356">
        <f>SUM(D35,D27,D21,D17,D10)</f>
        <v>170.34000000000003</v>
      </c>
      <c r="E36" s="356">
        <f>SUM(E35,E27,E21,E17,E10)</f>
        <v>87.99</v>
      </c>
      <c r="F36" s="355">
        <v>52</v>
      </c>
      <c r="G36" s="346" t="s">
        <v>143</v>
      </c>
      <c r="H36" s="2603" t="s">
        <v>331</v>
      </c>
      <c r="I36" s="2600"/>
      <c r="J36" s="355">
        <v>130</v>
      </c>
      <c r="K36" s="356">
        <v>174.23</v>
      </c>
      <c r="L36" s="356">
        <f>SUM(L35,L27,L21,L17,L10)</f>
        <v>72.02</v>
      </c>
      <c r="M36" s="357">
        <f t="shared" si="0"/>
        <v>41.336164839579865</v>
      </c>
      <c r="N36" s="347" t="s">
        <v>143</v>
      </c>
      <c r="O36" s="2604" t="s">
        <v>313</v>
      </c>
      <c r="P36" s="2600"/>
      <c r="Q36" s="358">
        <f>SUM(Q30:Q35)</f>
        <v>40</v>
      </c>
      <c r="R36" s="363">
        <f t="shared" ref="R36:S36" si="7">SUM(R30:R35)</f>
        <v>53.073999999999998</v>
      </c>
      <c r="S36" s="363">
        <f t="shared" si="7"/>
        <v>20.581</v>
      </c>
      <c r="T36" s="357">
        <f t="shared" si="6"/>
        <v>38.77793269774277</v>
      </c>
      <c r="U36" s="348" t="s">
        <v>312</v>
      </c>
    </row>
    <row r="37" spans="1:21" ht="22.5" customHeight="1">
      <c r="A37" s="124"/>
      <c r="B37" s="315"/>
      <c r="C37" s="315"/>
      <c r="D37" s="315"/>
      <c r="E37" s="315"/>
      <c r="F37" s="315"/>
      <c r="G37" s="316"/>
      <c r="H37" s="124"/>
      <c r="I37" s="315"/>
      <c r="J37" s="315"/>
      <c r="K37" s="315"/>
      <c r="L37" s="315"/>
      <c r="M37" s="315"/>
      <c r="N37" s="316"/>
      <c r="O37" s="2599" t="s">
        <v>143</v>
      </c>
      <c r="P37" s="2600"/>
      <c r="Q37" s="358">
        <f>Q36+Q28+Q22+Q18+Q10</f>
        <v>143</v>
      </c>
      <c r="R37" s="359">
        <f t="shared" ref="R37:S37" si="8">R36+R28+R22+R18+R10</f>
        <v>177.464</v>
      </c>
      <c r="S37" s="359">
        <f t="shared" si="8"/>
        <v>81.641999999999996</v>
      </c>
      <c r="T37" s="357">
        <f t="shared" si="6"/>
        <v>46.004823513501329</v>
      </c>
      <c r="U37" s="348"/>
    </row>
    <row r="38" spans="1:21" ht="20.100000000000001" customHeight="1">
      <c r="A38" s="1892" t="s">
        <v>464</v>
      </c>
      <c r="B38" s="1892"/>
      <c r="C38" s="1892"/>
      <c r="D38" s="1892"/>
      <c r="E38" s="1892"/>
      <c r="F38" s="1892"/>
      <c r="G38" s="1892"/>
      <c r="H38" s="1892" t="s">
        <v>464</v>
      </c>
      <c r="I38" s="1892"/>
      <c r="J38" s="1892"/>
      <c r="K38" s="1892"/>
      <c r="L38" s="1892"/>
      <c r="M38" s="1892"/>
      <c r="N38" s="1892"/>
      <c r="O38" s="366"/>
      <c r="P38" s="315"/>
      <c r="Q38" s="315"/>
      <c r="R38" s="315"/>
      <c r="S38" s="315"/>
      <c r="T38" s="315"/>
      <c r="U38" s="367"/>
    </row>
    <row r="39" spans="1:21" ht="20.100000000000001" customHeight="1">
      <c r="A39" s="368" t="s">
        <v>465</v>
      </c>
      <c r="E39" s="344" t="s">
        <v>466</v>
      </c>
      <c r="H39" s="316" t="s">
        <v>465</v>
      </c>
      <c r="I39" s="315"/>
      <c r="J39" s="315"/>
      <c r="K39" s="315"/>
      <c r="L39" s="315" t="s">
        <v>466</v>
      </c>
      <c r="M39" s="315"/>
      <c r="N39" s="315"/>
      <c r="O39" s="1891" t="s">
        <v>788</v>
      </c>
      <c r="P39" s="1892"/>
      <c r="Q39" s="1892"/>
      <c r="R39" s="1892"/>
      <c r="S39" s="1892"/>
      <c r="T39" s="1892"/>
      <c r="U39" s="1893"/>
    </row>
    <row r="40" spans="1:21" ht="20.100000000000001" customHeight="1" thickBot="1">
      <c r="H40" s="124"/>
      <c r="I40" s="315"/>
      <c r="J40" s="315"/>
      <c r="K40" s="315"/>
      <c r="L40" s="315"/>
      <c r="M40" s="315"/>
      <c r="N40" s="315"/>
      <c r="O40" s="370" t="s">
        <v>465</v>
      </c>
      <c r="P40" s="342"/>
      <c r="Q40" s="342"/>
      <c r="R40" s="342"/>
      <c r="S40" s="342" t="s">
        <v>466</v>
      </c>
      <c r="T40" s="342"/>
      <c r="U40" s="343"/>
    </row>
    <row r="41" spans="1:21" ht="15.75" thickTop="1">
      <c r="H41" s="369"/>
      <c r="O41" s="124"/>
      <c r="P41" s="315"/>
      <c r="Q41" s="315"/>
      <c r="R41" s="315"/>
      <c r="S41" s="315"/>
      <c r="T41" s="315"/>
      <c r="U41" s="315"/>
    </row>
    <row r="173" spans="7:7" ht="15">
      <c r="G173" s="273" t="s">
        <v>532</v>
      </c>
    </row>
  </sheetData>
  <mergeCells count="60">
    <mergeCell ref="O37:P37"/>
    <mergeCell ref="A38:G38"/>
    <mergeCell ref="H38:N38"/>
    <mergeCell ref="O39:U39"/>
    <mergeCell ref="O29:P29"/>
    <mergeCell ref="A35:B35"/>
    <mergeCell ref="H35:I35"/>
    <mergeCell ref="A36:B36"/>
    <mergeCell ref="H36:I36"/>
    <mergeCell ref="O36:P36"/>
    <mergeCell ref="O23:P23"/>
    <mergeCell ref="A27:B27"/>
    <mergeCell ref="H27:I27"/>
    <mergeCell ref="A28:B28"/>
    <mergeCell ref="H28:I28"/>
    <mergeCell ref="O28:P28"/>
    <mergeCell ref="O19:P19"/>
    <mergeCell ref="A21:B21"/>
    <mergeCell ref="H21:I21"/>
    <mergeCell ref="A22:B22"/>
    <mergeCell ref="H22:I22"/>
    <mergeCell ref="O22:P22"/>
    <mergeCell ref="A11:B11"/>
    <mergeCell ref="H11:I11"/>
    <mergeCell ref="O11:P11"/>
    <mergeCell ref="A17:B17"/>
    <mergeCell ref="H17:I17"/>
    <mergeCell ref="A18:B18"/>
    <mergeCell ref="H18:I18"/>
    <mergeCell ref="O18:P18"/>
    <mergeCell ref="R4:R5"/>
    <mergeCell ref="U4:U5"/>
    <mergeCell ref="A6:B6"/>
    <mergeCell ref="H6:I6"/>
    <mergeCell ref="O6:P6"/>
    <mergeCell ref="A10:B10"/>
    <mergeCell ref="H10:I10"/>
    <mergeCell ref="O10:P10"/>
    <mergeCell ref="J4:J5"/>
    <mergeCell ref="K4:K5"/>
    <mergeCell ref="N4:N5"/>
    <mergeCell ref="O4:O5"/>
    <mergeCell ref="P4:P5"/>
    <mergeCell ref="Q4:Q5"/>
    <mergeCell ref="A3:G3"/>
    <mergeCell ref="H3:N3"/>
    <mergeCell ref="O3:U3"/>
    <mergeCell ref="A4:A5"/>
    <mergeCell ref="B4:B5"/>
    <mergeCell ref="C4:C5"/>
    <mergeCell ref="D4:D5"/>
    <mergeCell ref="G4:G5"/>
    <mergeCell ref="H4:H5"/>
    <mergeCell ref="I4:I5"/>
    <mergeCell ref="A1:G1"/>
    <mergeCell ref="H1:N1"/>
    <mergeCell ref="O1:U1"/>
    <mergeCell ref="A2:G2"/>
    <mergeCell ref="H2:N2"/>
    <mergeCell ref="O2:U2"/>
  </mergeCells>
  <conditionalFormatting sqref="O6:U37">
    <cfRule type="expression" dxfId="4" priority="1">
      <formula>MOD(ROW(),3)=1</formula>
    </cfRule>
  </conditionalFormatting>
  <printOptions horizontalCentered="1" verticalCentered="1"/>
  <pageMargins left="0.31496062992125984" right="0.31496062992125984" top="0.51181102362204722" bottom="0.39370078740157483" header="0.31496062992125984" footer="0.31496062992125984"/>
  <pageSetup paperSize="9" scale="90" orientation="portrait" r:id="rId1"/>
  <rowBreaks count="1" manualBreakCount="1">
    <brk id="28" min="14" max="20" man="1"/>
  </rowBreaks>
  <colBreaks count="1" manualBreakCount="1">
    <brk id="14" max="1048575" man="1"/>
  </colBreaks>
  <legacyDrawingHF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00"/>
  </sheetPr>
  <dimension ref="A1:Q173"/>
  <sheetViews>
    <sheetView view="pageBreakPreview" zoomScale="70" zoomScaleSheetLayoutView="70" workbookViewId="0">
      <selection activeCell="O50" sqref="O50"/>
    </sheetView>
  </sheetViews>
  <sheetFormatPr defaultColWidth="6.28515625" defaultRowHeight="15.75"/>
  <cols>
    <col min="1" max="1" width="9.42578125" style="121" customWidth="1"/>
    <col min="2" max="2" width="33.85546875" style="74" customWidth="1"/>
    <col min="3" max="3" width="12.5703125" style="74" customWidth="1"/>
    <col min="4" max="4" width="13.140625" style="74" customWidth="1"/>
    <col min="5" max="5" width="20.140625" style="74" customWidth="1"/>
    <col min="6" max="6" width="18.140625" style="74" customWidth="1"/>
    <col min="7" max="7" width="13.5703125" style="74" customWidth="1"/>
    <col min="8" max="8" width="14" style="74" customWidth="1"/>
    <col min="9" max="9" width="14.7109375" style="74" customWidth="1"/>
    <col min="10" max="10" width="15.42578125" style="74" customWidth="1"/>
    <col min="11" max="12" width="12.28515625" style="74" customWidth="1"/>
    <col min="13" max="13" width="13.85546875" style="74" customWidth="1"/>
    <col min="14" max="14" width="10.85546875" style="74" customWidth="1"/>
    <col min="15" max="15" width="29.5703125" style="74" customWidth="1"/>
    <col min="16" max="16384" width="6.28515625" style="74"/>
  </cols>
  <sheetData>
    <row r="1" spans="1:17" s="72" customFormat="1" ht="20.100000000000001" customHeight="1">
      <c r="A1" s="2193" t="s">
        <v>626</v>
      </c>
      <c r="B1" s="2193"/>
      <c r="C1" s="2193"/>
      <c r="D1" s="2193"/>
      <c r="E1" s="2193"/>
      <c r="F1" s="2193"/>
      <c r="G1" s="2193"/>
      <c r="H1" s="2193"/>
      <c r="I1" s="2193"/>
      <c r="J1" s="2193"/>
      <c r="K1" s="2193"/>
      <c r="L1" s="2193"/>
      <c r="M1" s="2193"/>
      <c r="N1" s="2193"/>
      <c r="O1" s="2193"/>
    </row>
    <row r="2" spans="1:17" s="73" customFormat="1" ht="20.100000000000001" customHeight="1">
      <c r="A2" s="2193" t="s">
        <v>627</v>
      </c>
      <c r="B2" s="2193"/>
      <c r="C2" s="2193"/>
      <c r="D2" s="2193"/>
      <c r="E2" s="2193"/>
      <c r="F2" s="2193"/>
      <c r="G2" s="2193"/>
      <c r="H2" s="2193"/>
      <c r="I2" s="2193"/>
      <c r="J2" s="2193"/>
      <c r="K2" s="2193"/>
      <c r="L2" s="2193"/>
      <c r="M2" s="2193"/>
      <c r="N2" s="2193"/>
      <c r="O2" s="2193"/>
    </row>
    <row r="3" spans="1:17" s="73" customFormat="1" ht="20.100000000000001" customHeight="1">
      <c r="A3" s="120"/>
    </row>
    <row r="4" spans="1:17" s="101" customFormat="1" ht="87.75" customHeight="1">
      <c r="A4" s="79" t="s">
        <v>521</v>
      </c>
      <c r="B4" s="79" t="s">
        <v>395</v>
      </c>
      <c r="C4" s="79" t="s">
        <v>332</v>
      </c>
      <c r="D4" s="79" t="s">
        <v>333</v>
      </c>
      <c r="E4" s="79" t="s">
        <v>334</v>
      </c>
      <c r="F4" s="79" t="s">
        <v>396</v>
      </c>
      <c r="G4" s="79" t="s">
        <v>335</v>
      </c>
      <c r="H4" s="79" t="s">
        <v>336</v>
      </c>
      <c r="I4" s="79" t="s">
        <v>337</v>
      </c>
      <c r="J4" s="79" t="s">
        <v>470</v>
      </c>
      <c r="K4" s="79" t="s">
        <v>338</v>
      </c>
      <c r="L4" s="79" t="s">
        <v>339</v>
      </c>
      <c r="M4" s="79" t="s">
        <v>340</v>
      </c>
      <c r="N4" s="79" t="s">
        <v>341</v>
      </c>
      <c r="O4" s="79" t="s">
        <v>136</v>
      </c>
    </row>
    <row r="5" spans="1:17" s="101" customFormat="1" ht="20.25" customHeight="1">
      <c r="A5" s="80"/>
      <c r="B5" s="80"/>
      <c r="C5" s="80" t="s">
        <v>342</v>
      </c>
      <c r="D5" s="80" t="s">
        <v>342</v>
      </c>
      <c r="E5" s="80" t="s">
        <v>342</v>
      </c>
      <c r="F5" s="80" t="s">
        <v>342</v>
      </c>
      <c r="G5" s="80" t="s">
        <v>342</v>
      </c>
      <c r="H5" s="80" t="s">
        <v>342</v>
      </c>
      <c r="I5" s="80" t="s">
        <v>342</v>
      </c>
      <c r="J5" s="80" t="s">
        <v>342</v>
      </c>
      <c r="K5" s="80" t="s">
        <v>342</v>
      </c>
      <c r="L5" s="80" t="s">
        <v>342</v>
      </c>
      <c r="M5" s="80" t="s">
        <v>342</v>
      </c>
      <c r="N5" s="80" t="s">
        <v>342</v>
      </c>
      <c r="O5" s="83"/>
    </row>
    <row r="6" spans="1:17" s="84" customFormat="1" ht="21" customHeight="1">
      <c r="A6" s="91">
        <v>1</v>
      </c>
      <c r="B6" s="5" t="s">
        <v>343</v>
      </c>
      <c r="C6" s="5"/>
      <c r="D6" s="5"/>
      <c r="E6" s="5"/>
      <c r="F6" s="5"/>
      <c r="G6" s="5"/>
      <c r="H6" s="5"/>
      <c r="I6" s="5"/>
      <c r="J6" s="5"/>
      <c r="K6" s="5"/>
      <c r="L6" s="5"/>
      <c r="M6" s="5"/>
      <c r="N6" s="5"/>
      <c r="O6" s="5" t="s">
        <v>344</v>
      </c>
      <c r="P6" s="74"/>
      <c r="Q6" s="74"/>
    </row>
    <row r="7" spans="1:17" ht="21.95" customHeight="1">
      <c r="A7" s="91"/>
      <c r="B7" s="5" t="s">
        <v>345</v>
      </c>
      <c r="C7" s="5">
        <v>29.66</v>
      </c>
      <c r="D7" s="55">
        <v>27.7</v>
      </c>
      <c r="E7" s="5">
        <v>4.0000000000000001E-3</v>
      </c>
      <c r="F7" s="5">
        <v>0.01</v>
      </c>
      <c r="G7" s="5">
        <v>1E-3</v>
      </c>
      <c r="H7" s="5"/>
      <c r="I7" s="5"/>
      <c r="J7" s="5">
        <v>34.72</v>
      </c>
      <c r="K7" s="5"/>
      <c r="L7" s="5"/>
      <c r="M7" s="5">
        <v>25.53</v>
      </c>
      <c r="N7" s="5">
        <v>7.01</v>
      </c>
      <c r="O7" s="5" t="s">
        <v>346</v>
      </c>
    </row>
    <row r="8" spans="1:17" ht="21.95" customHeight="1">
      <c r="A8" s="91"/>
      <c r="B8" s="5" t="s">
        <v>347</v>
      </c>
      <c r="C8" s="5">
        <v>13.92</v>
      </c>
      <c r="D8" s="5">
        <v>5.79</v>
      </c>
      <c r="E8" s="5">
        <v>0.96</v>
      </c>
      <c r="F8" s="5">
        <v>7.0000000000000007E-2</v>
      </c>
      <c r="G8" s="5">
        <v>-0.02</v>
      </c>
      <c r="H8" s="55">
        <v>0</v>
      </c>
      <c r="I8" s="5"/>
      <c r="J8" s="5">
        <v>6.79</v>
      </c>
      <c r="K8" s="5"/>
      <c r="L8" s="5"/>
      <c r="M8" s="5"/>
      <c r="N8" s="5"/>
      <c r="O8" s="5" t="s">
        <v>348</v>
      </c>
    </row>
    <row r="9" spans="1:17" ht="21.95" customHeight="1">
      <c r="A9" s="91"/>
      <c r="B9" s="5" t="s">
        <v>349</v>
      </c>
      <c r="C9" s="5">
        <v>45.74</v>
      </c>
      <c r="D9" s="5">
        <v>28.84</v>
      </c>
      <c r="E9" s="5">
        <v>6.16</v>
      </c>
      <c r="F9" s="55">
        <v>0.1</v>
      </c>
      <c r="G9" s="5">
        <v>-0.03</v>
      </c>
      <c r="H9" s="5">
        <v>-0.16</v>
      </c>
      <c r="I9" s="5">
        <v>0.48</v>
      </c>
      <c r="J9" s="55">
        <v>40</v>
      </c>
      <c r="K9" s="55">
        <v>4.5999999999999996</v>
      </c>
      <c r="L9" s="55">
        <v>12.42</v>
      </c>
      <c r="M9" s="55">
        <v>16.87</v>
      </c>
      <c r="N9" s="55">
        <v>2.2999999999999998</v>
      </c>
      <c r="O9" s="5" t="s">
        <v>350</v>
      </c>
    </row>
    <row r="10" spans="1:17" ht="21.95" customHeight="1">
      <c r="A10" s="91"/>
      <c r="B10" s="5" t="s">
        <v>351</v>
      </c>
      <c r="C10" s="5">
        <v>19.57</v>
      </c>
      <c r="D10" s="5">
        <v>16.170000000000002</v>
      </c>
      <c r="E10" s="55">
        <v>0</v>
      </c>
      <c r="F10" s="5">
        <v>8.0000000000000004E-4</v>
      </c>
      <c r="G10" s="5">
        <v>-1E-4</v>
      </c>
      <c r="H10" s="55">
        <v>0</v>
      </c>
      <c r="I10" s="5"/>
      <c r="J10" s="5">
        <v>16.170000000000002</v>
      </c>
      <c r="K10" s="5"/>
      <c r="L10" s="5"/>
      <c r="M10" s="91" t="s">
        <v>47</v>
      </c>
      <c r="N10" s="5"/>
      <c r="O10" s="5" t="s">
        <v>352</v>
      </c>
    </row>
    <row r="11" spans="1:17" ht="21.95" customHeight="1">
      <c r="A11" s="91"/>
      <c r="B11" s="5" t="s">
        <v>353</v>
      </c>
      <c r="C11" s="5">
        <v>142.44</v>
      </c>
      <c r="D11" s="5">
        <v>117.23</v>
      </c>
      <c r="E11" s="5">
        <v>2.09</v>
      </c>
      <c r="F11" s="5">
        <v>0.20300000000000001</v>
      </c>
      <c r="G11" s="5">
        <v>-6.0000000000000001E-3</v>
      </c>
      <c r="H11" s="5">
        <v>-0.08</v>
      </c>
      <c r="I11" s="5"/>
      <c r="J11" s="5">
        <v>119.43</v>
      </c>
      <c r="K11" s="5"/>
      <c r="L11" s="5"/>
      <c r="M11" s="91" t="s">
        <v>47</v>
      </c>
      <c r="N11" s="5"/>
      <c r="O11" s="5" t="s">
        <v>354</v>
      </c>
    </row>
    <row r="12" spans="1:17" ht="21.95" customHeight="1">
      <c r="A12" s="91">
        <v>2</v>
      </c>
      <c r="B12" s="5" t="s">
        <v>355</v>
      </c>
      <c r="C12" s="5"/>
      <c r="D12" s="5"/>
      <c r="E12" s="5"/>
      <c r="F12" s="5"/>
      <c r="G12" s="5"/>
      <c r="H12" s="5"/>
      <c r="I12" s="5"/>
      <c r="J12" s="5"/>
      <c r="K12" s="5"/>
      <c r="L12" s="5"/>
      <c r="M12" s="5"/>
      <c r="N12" s="5"/>
      <c r="O12" s="5" t="s">
        <v>356</v>
      </c>
    </row>
    <row r="13" spans="1:17" ht="21.95" customHeight="1">
      <c r="A13" s="91"/>
      <c r="B13" s="5" t="s">
        <v>80</v>
      </c>
      <c r="C13" s="5"/>
      <c r="D13" s="5"/>
      <c r="E13" s="5"/>
      <c r="F13" s="5"/>
      <c r="G13" s="5"/>
      <c r="H13" s="5"/>
      <c r="I13" s="5"/>
      <c r="J13" s="5"/>
      <c r="K13" s="5"/>
      <c r="L13" s="5"/>
      <c r="M13" s="5"/>
      <c r="N13" s="5"/>
      <c r="O13" s="5" t="s">
        <v>357</v>
      </c>
    </row>
    <row r="14" spans="1:17" ht="21.95" customHeight="1">
      <c r="A14" s="91"/>
      <c r="B14" s="5" t="s">
        <v>358</v>
      </c>
      <c r="C14" s="5">
        <v>280.77</v>
      </c>
      <c r="D14" s="5">
        <v>114.55</v>
      </c>
      <c r="E14" s="5">
        <v>63.57</v>
      </c>
      <c r="F14" s="5">
        <v>1.31</v>
      </c>
      <c r="G14" s="5">
        <v>-0.78</v>
      </c>
      <c r="H14" s="5">
        <v>-0.37</v>
      </c>
      <c r="I14" s="5">
        <v>0.76</v>
      </c>
      <c r="J14" s="5">
        <v>197.22</v>
      </c>
      <c r="K14" s="55">
        <v>21.66</v>
      </c>
      <c r="L14" s="5">
        <v>3.48</v>
      </c>
      <c r="M14" s="5"/>
      <c r="N14" s="5"/>
      <c r="O14" s="5" t="s">
        <v>359</v>
      </c>
    </row>
    <row r="15" spans="1:17" ht="21.95" customHeight="1">
      <c r="A15" s="91"/>
      <c r="B15" s="5" t="s">
        <v>360</v>
      </c>
      <c r="C15" s="5">
        <v>364.33</v>
      </c>
      <c r="D15" s="5">
        <v>84.48</v>
      </c>
      <c r="E15" s="5">
        <v>91.11</v>
      </c>
      <c r="F15" s="5">
        <v>4.05</v>
      </c>
      <c r="G15" s="5">
        <v>-0.41</v>
      </c>
      <c r="H15" s="5">
        <v>0.26</v>
      </c>
      <c r="I15" s="5">
        <v>6.03</v>
      </c>
      <c r="J15" s="55">
        <v>192.6</v>
      </c>
      <c r="K15" s="5">
        <v>7.08</v>
      </c>
      <c r="L15" s="5"/>
      <c r="M15" s="5"/>
      <c r="N15" s="5"/>
      <c r="O15" s="5" t="s">
        <v>361</v>
      </c>
    </row>
    <row r="16" spans="1:17" ht="21.95" customHeight="1">
      <c r="A16" s="91"/>
      <c r="B16" s="5" t="s">
        <v>362</v>
      </c>
      <c r="C16" s="55">
        <v>268.89999999999998</v>
      </c>
      <c r="D16" s="5">
        <v>52.87</v>
      </c>
      <c r="E16" s="5">
        <v>97.23</v>
      </c>
      <c r="F16" s="5">
        <v>2.69</v>
      </c>
      <c r="G16" s="5">
        <v>-2.59</v>
      </c>
      <c r="H16" s="5">
        <v>0.01</v>
      </c>
      <c r="I16" s="5">
        <v>1.87</v>
      </c>
      <c r="J16" s="5">
        <v>136.94</v>
      </c>
      <c r="K16" s="5"/>
      <c r="L16" s="5">
        <v>15.14</v>
      </c>
      <c r="M16" s="5"/>
      <c r="N16" s="5"/>
      <c r="O16" s="5" t="s">
        <v>363</v>
      </c>
    </row>
    <row r="17" spans="1:15" ht="21.95" customHeight="1">
      <c r="A17" s="91"/>
      <c r="B17" s="5" t="s">
        <v>364</v>
      </c>
      <c r="C17" s="5">
        <v>499.72</v>
      </c>
      <c r="D17" s="5">
        <v>522.77</v>
      </c>
      <c r="E17" s="5">
        <v>3.79</v>
      </c>
      <c r="F17" s="55">
        <v>0.7</v>
      </c>
      <c r="G17" s="5">
        <v>0.02</v>
      </c>
      <c r="H17" s="55">
        <v>0</v>
      </c>
      <c r="I17" s="55">
        <v>0</v>
      </c>
      <c r="J17" s="5">
        <v>527.28</v>
      </c>
      <c r="K17" s="5"/>
      <c r="L17" s="5"/>
      <c r="M17" s="5"/>
      <c r="N17" s="5"/>
      <c r="O17" s="5" t="s">
        <v>365</v>
      </c>
    </row>
    <row r="18" spans="1:15" ht="21.95" customHeight="1">
      <c r="A18" s="91"/>
      <c r="B18" s="5" t="s">
        <v>366</v>
      </c>
      <c r="C18" s="55">
        <v>134</v>
      </c>
      <c r="D18" s="5">
        <v>84.96</v>
      </c>
      <c r="E18" s="5">
        <v>0.61</v>
      </c>
      <c r="F18" s="5">
        <v>0.15</v>
      </c>
      <c r="G18" s="5">
        <v>0.05</v>
      </c>
      <c r="H18" s="5">
        <v>0.09</v>
      </c>
      <c r="I18" s="5">
        <v>0.81</v>
      </c>
      <c r="J18" s="5">
        <v>86.67</v>
      </c>
      <c r="K18" s="5"/>
      <c r="L18" s="5"/>
      <c r="M18" s="5"/>
      <c r="N18" s="5"/>
      <c r="O18" s="5" t="s">
        <v>367</v>
      </c>
    </row>
    <row r="19" spans="1:15" ht="21.95" customHeight="1">
      <c r="A19" s="91">
        <v>3</v>
      </c>
      <c r="B19" s="5" t="s">
        <v>82</v>
      </c>
      <c r="C19" s="55">
        <v>365</v>
      </c>
      <c r="D19" s="5">
        <v>96.57</v>
      </c>
      <c r="E19" s="5">
        <v>16.13</v>
      </c>
      <c r="F19" s="5">
        <v>1.1499999999999999</v>
      </c>
      <c r="G19" s="55">
        <v>-0.6</v>
      </c>
      <c r="H19" s="5">
        <v>0.09</v>
      </c>
      <c r="I19" s="5">
        <v>4.41</v>
      </c>
      <c r="J19" s="5">
        <v>117.74</v>
      </c>
      <c r="K19" s="5"/>
      <c r="L19" s="5"/>
      <c r="M19" s="5"/>
      <c r="N19" s="5"/>
      <c r="O19" s="5" t="s">
        <v>250</v>
      </c>
    </row>
    <row r="20" spans="1:15" ht="21.95" customHeight="1">
      <c r="A20" s="91">
        <v>4</v>
      </c>
      <c r="B20" s="5" t="s">
        <v>83</v>
      </c>
      <c r="C20" s="5">
        <v>226.76</v>
      </c>
      <c r="D20" s="5">
        <v>22.48</v>
      </c>
      <c r="E20" s="5">
        <v>57.59</v>
      </c>
      <c r="F20" s="5">
        <v>1.65</v>
      </c>
      <c r="G20" s="5">
        <v>0.28000000000000003</v>
      </c>
      <c r="H20" s="5">
        <v>-0.09</v>
      </c>
      <c r="I20" s="5">
        <v>2.11</v>
      </c>
      <c r="J20" s="5">
        <v>95.92</v>
      </c>
      <c r="K20" s="55">
        <v>11.9</v>
      </c>
      <c r="L20" s="5"/>
      <c r="M20" s="5"/>
      <c r="N20" s="5"/>
      <c r="O20" s="5" t="s">
        <v>251</v>
      </c>
    </row>
    <row r="21" spans="1:15" ht="21.95" customHeight="1">
      <c r="A21" s="91">
        <v>5</v>
      </c>
      <c r="B21" s="5" t="s">
        <v>84</v>
      </c>
      <c r="C21" s="55">
        <v>81.3</v>
      </c>
      <c r="D21" s="5">
        <v>11.08</v>
      </c>
      <c r="E21" s="5">
        <v>15.19</v>
      </c>
      <c r="F21" s="5">
        <v>0.78</v>
      </c>
      <c r="G21" s="5">
        <v>0.03</v>
      </c>
      <c r="H21" s="5">
        <v>-0.06</v>
      </c>
      <c r="I21" s="5">
        <v>0.65</v>
      </c>
      <c r="J21" s="5">
        <v>27.67</v>
      </c>
      <c r="K21" s="5"/>
      <c r="L21" s="5"/>
      <c r="M21" s="5"/>
      <c r="N21" s="5"/>
      <c r="O21" s="5" t="s">
        <v>252</v>
      </c>
    </row>
    <row r="22" spans="1:15" ht="21.95" customHeight="1">
      <c r="A22" s="91">
        <v>6</v>
      </c>
      <c r="B22" s="5" t="s">
        <v>111</v>
      </c>
      <c r="C22" s="5">
        <v>40.049999999999997</v>
      </c>
      <c r="D22" s="5">
        <v>12.26</v>
      </c>
      <c r="E22" s="5">
        <v>2.11</v>
      </c>
      <c r="F22" s="5">
        <v>0.16</v>
      </c>
      <c r="G22" s="5">
        <v>-0.02</v>
      </c>
      <c r="H22" s="5">
        <v>0.01</v>
      </c>
      <c r="I22" s="5">
        <v>0.54</v>
      </c>
      <c r="J22" s="5">
        <v>15.05</v>
      </c>
      <c r="K22" s="5"/>
      <c r="L22" s="5"/>
      <c r="M22" s="5"/>
      <c r="N22" s="5"/>
      <c r="O22" s="5" t="s">
        <v>253</v>
      </c>
    </row>
    <row r="23" spans="1:15" ht="21.95" customHeight="1">
      <c r="A23" s="91">
        <v>7</v>
      </c>
      <c r="B23" s="5" t="s">
        <v>368</v>
      </c>
      <c r="C23" s="55">
        <v>83</v>
      </c>
      <c r="D23" s="55">
        <v>29.5</v>
      </c>
      <c r="E23" s="5">
        <v>5.05</v>
      </c>
      <c r="F23" s="5">
        <v>0.18</v>
      </c>
      <c r="G23" s="5">
        <v>0.01</v>
      </c>
      <c r="H23" s="5">
        <v>-0.02</v>
      </c>
      <c r="I23" s="5">
        <v>0.93</v>
      </c>
      <c r="J23" s="5">
        <v>35.65</v>
      </c>
      <c r="K23" s="5"/>
      <c r="L23" s="5"/>
      <c r="M23" s="5"/>
      <c r="N23" s="5"/>
      <c r="O23" s="5" t="s">
        <v>369</v>
      </c>
    </row>
    <row r="24" spans="1:15" ht="20.25" customHeight="1">
      <c r="A24" s="91">
        <v>8</v>
      </c>
      <c r="B24" s="5" t="s">
        <v>88</v>
      </c>
      <c r="C24" s="55">
        <v>200</v>
      </c>
      <c r="D24" s="55">
        <v>54.8</v>
      </c>
      <c r="E24" s="5">
        <v>16.239999999999998</v>
      </c>
      <c r="F24" s="55">
        <v>0.2</v>
      </c>
      <c r="G24" s="5">
        <v>0.06</v>
      </c>
      <c r="H24" s="5">
        <v>0.28999999999999998</v>
      </c>
      <c r="I24" s="5">
        <v>1.41</v>
      </c>
      <c r="J24" s="55">
        <v>73</v>
      </c>
      <c r="K24" s="5"/>
      <c r="L24" s="5">
        <v>0.67</v>
      </c>
      <c r="M24" s="5"/>
      <c r="N24" s="5"/>
      <c r="O24" s="5" t="s">
        <v>370</v>
      </c>
    </row>
    <row r="25" spans="1:15" ht="21" customHeight="1">
      <c r="A25" s="91">
        <v>9</v>
      </c>
      <c r="B25" s="5" t="s">
        <v>85</v>
      </c>
      <c r="C25" s="55">
        <v>40</v>
      </c>
      <c r="D25" s="5">
        <v>3.96</v>
      </c>
      <c r="E25" s="55">
        <v>8.1999999999999993</v>
      </c>
      <c r="F25" s="5">
        <v>0.24</v>
      </c>
      <c r="G25" s="5">
        <v>-0.21</v>
      </c>
      <c r="H25" s="5">
        <v>0.02</v>
      </c>
      <c r="I25" s="5">
        <v>0.14000000000000001</v>
      </c>
      <c r="J25" s="5">
        <v>11.02</v>
      </c>
      <c r="K25" s="5"/>
      <c r="L25" s="5"/>
      <c r="M25" s="5"/>
      <c r="N25" s="5"/>
      <c r="O25" s="5" t="s">
        <v>371</v>
      </c>
    </row>
    <row r="26" spans="1:15" ht="21" customHeight="1">
      <c r="A26" s="91">
        <v>10</v>
      </c>
      <c r="B26" s="5" t="s">
        <v>92</v>
      </c>
      <c r="C26" s="55">
        <v>35</v>
      </c>
      <c r="D26" s="5">
        <v>4.7699999999999996</v>
      </c>
      <c r="E26" s="55">
        <v>8.1999999999999993</v>
      </c>
      <c r="F26" s="5">
        <v>0.24</v>
      </c>
      <c r="G26" s="55">
        <v>-0.2</v>
      </c>
      <c r="H26" s="5">
        <v>0.09</v>
      </c>
      <c r="I26" s="5">
        <v>0.75</v>
      </c>
      <c r="J26" s="5">
        <v>13.85</v>
      </c>
      <c r="K26" s="5"/>
      <c r="L26" s="5"/>
      <c r="M26" s="5">
        <v>4.79</v>
      </c>
      <c r="N26" s="5"/>
      <c r="O26" s="5" t="s">
        <v>372</v>
      </c>
    </row>
    <row r="27" spans="1:15" ht="21" customHeight="1">
      <c r="A27" s="91">
        <v>11</v>
      </c>
      <c r="B27" s="5" t="s">
        <v>91</v>
      </c>
      <c r="C27" s="55">
        <v>25</v>
      </c>
      <c r="D27" s="58">
        <v>4.1399999999999997</v>
      </c>
      <c r="E27" s="5">
        <v>8.64</v>
      </c>
      <c r="F27" s="5">
        <v>0.33</v>
      </c>
      <c r="G27" s="5">
        <v>-0.56000000000000005</v>
      </c>
      <c r="H27" s="55">
        <v>0</v>
      </c>
      <c r="I27" s="5">
        <v>0.41</v>
      </c>
      <c r="J27" s="5">
        <v>12.96</v>
      </c>
      <c r="K27" s="5"/>
      <c r="L27" s="5"/>
      <c r="M27" s="5">
        <v>4.66</v>
      </c>
      <c r="N27" s="5"/>
      <c r="O27" s="5" t="s">
        <v>373</v>
      </c>
    </row>
    <row r="28" spans="1:15" ht="21" customHeight="1">
      <c r="A28" s="91">
        <v>12</v>
      </c>
      <c r="B28" s="5" t="s">
        <v>94</v>
      </c>
      <c r="C28" s="55">
        <v>108</v>
      </c>
      <c r="D28" s="5">
        <v>41.39</v>
      </c>
      <c r="E28" s="5">
        <v>14.28</v>
      </c>
      <c r="F28" s="5">
        <v>0.25</v>
      </c>
      <c r="G28" s="5">
        <v>-0.18</v>
      </c>
      <c r="H28" s="5">
        <v>0.12</v>
      </c>
      <c r="I28" s="5">
        <v>0.48</v>
      </c>
      <c r="J28" s="5">
        <v>58.21</v>
      </c>
      <c r="K28" s="5">
        <v>1.86</v>
      </c>
      <c r="L28" s="5"/>
      <c r="M28" s="5"/>
      <c r="N28" s="5"/>
      <c r="O28" s="5" t="s">
        <v>374</v>
      </c>
    </row>
    <row r="29" spans="1:15" ht="21" customHeight="1">
      <c r="A29" s="91">
        <v>13</v>
      </c>
      <c r="B29" s="5" t="s">
        <v>95</v>
      </c>
      <c r="C29" s="55">
        <v>59</v>
      </c>
      <c r="D29" s="5">
        <v>9.33</v>
      </c>
      <c r="E29" s="5">
        <v>15.28</v>
      </c>
      <c r="F29" s="5">
        <v>0.24</v>
      </c>
      <c r="G29" s="5">
        <v>-0.08</v>
      </c>
      <c r="H29" s="5">
        <v>0.03</v>
      </c>
      <c r="I29" s="5">
        <v>0.78</v>
      </c>
      <c r="J29" s="5">
        <v>25.58</v>
      </c>
      <c r="K29" s="5"/>
      <c r="L29" s="5"/>
      <c r="M29" s="5"/>
      <c r="N29" s="5"/>
      <c r="O29" s="5" t="s">
        <v>375</v>
      </c>
    </row>
    <row r="30" spans="1:15" s="73" customFormat="1" ht="30">
      <c r="A30" s="91">
        <v>14</v>
      </c>
      <c r="B30" s="12" t="s">
        <v>96</v>
      </c>
      <c r="C30" s="55">
        <v>161</v>
      </c>
      <c r="D30" s="5">
        <v>109.05</v>
      </c>
      <c r="E30" s="5">
        <v>7.27</v>
      </c>
      <c r="F30" s="5">
        <v>0.66</v>
      </c>
      <c r="G30" s="5">
        <v>7.0000000000000007E-2</v>
      </c>
      <c r="H30" s="5">
        <v>1.2E-2</v>
      </c>
      <c r="I30" s="5">
        <v>1.29</v>
      </c>
      <c r="J30" s="5">
        <v>118.35</v>
      </c>
      <c r="K30" s="5"/>
      <c r="L30" s="5"/>
      <c r="M30" s="5"/>
      <c r="N30" s="5"/>
      <c r="O30" s="12" t="s">
        <v>376</v>
      </c>
    </row>
    <row r="31" spans="1:15" s="73" customFormat="1" ht="30">
      <c r="A31" s="91">
        <v>15</v>
      </c>
      <c r="B31" s="12" t="s">
        <v>377</v>
      </c>
      <c r="C31" s="55">
        <v>151</v>
      </c>
      <c r="D31" s="5">
        <v>111.68</v>
      </c>
      <c r="E31" s="5">
        <v>5.22</v>
      </c>
      <c r="F31" s="5">
        <v>0.79</v>
      </c>
      <c r="G31" s="5">
        <v>0.05</v>
      </c>
      <c r="H31" s="5">
        <v>0.05</v>
      </c>
      <c r="I31" s="5">
        <v>1.27</v>
      </c>
      <c r="J31" s="5">
        <v>119.06</v>
      </c>
      <c r="K31" s="5"/>
      <c r="L31" s="5"/>
      <c r="M31" s="5"/>
      <c r="N31" s="5"/>
      <c r="O31" s="12" t="s">
        <v>378</v>
      </c>
    </row>
    <row r="32" spans="1:15" s="73" customFormat="1" ht="30">
      <c r="A32" s="91">
        <v>16</v>
      </c>
      <c r="B32" s="12" t="s">
        <v>379</v>
      </c>
      <c r="C32" s="55">
        <v>97</v>
      </c>
      <c r="D32" s="55">
        <v>25.5</v>
      </c>
      <c r="E32" s="55">
        <v>6</v>
      </c>
      <c r="F32" s="55">
        <v>0.2</v>
      </c>
      <c r="G32" s="5">
        <v>-0.06</v>
      </c>
      <c r="H32" s="5"/>
      <c r="I32" s="5">
        <v>1.62</v>
      </c>
      <c r="J32" s="5">
        <v>26.41</v>
      </c>
      <c r="K32" s="5"/>
      <c r="L32" s="5">
        <v>6.85</v>
      </c>
      <c r="M32" s="5"/>
      <c r="N32" s="5"/>
      <c r="O32" s="12" t="s">
        <v>380</v>
      </c>
    </row>
    <row r="33" spans="1:15" s="73" customFormat="1" ht="30">
      <c r="A33" s="91">
        <v>17</v>
      </c>
      <c r="B33" s="12" t="s">
        <v>381</v>
      </c>
      <c r="C33" s="55">
        <v>98</v>
      </c>
      <c r="D33" s="55">
        <v>12.5</v>
      </c>
      <c r="E33" s="55">
        <v>13.41</v>
      </c>
      <c r="F33" s="55">
        <v>0.96</v>
      </c>
      <c r="G33" s="55">
        <v>-0.5</v>
      </c>
      <c r="H33" s="55"/>
      <c r="I33" s="55">
        <v>0.37</v>
      </c>
      <c r="J33" s="55">
        <v>26.74</v>
      </c>
      <c r="K33" s="5"/>
      <c r="L33" s="5"/>
      <c r="M33" s="5"/>
      <c r="N33" s="5"/>
      <c r="O33" s="12" t="s">
        <v>382</v>
      </c>
    </row>
    <row r="34" spans="1:15" s="73" customFormat="1" ht="30">
      <c r="A34" s="91">
        <v>18</v>
      </c>
      <c r="B34" s="12" t="s">
        <v>383</v>
      </c>
      <c r="C34" s="55"/>
      <c r="D34" s="55"/>
      <c r="E34" s="55"/>
      <c r="F34" s="55"/>
      <c r="G34" s="55"/>
      <c r="H34" s="55"/>
      <c r="I34" s="55"/>
      <c r="J34" s="55"/>
      <c r="K34" s="5"/>
      <c r="L34" s="5"/>
      <c r="M34" s="5"/>
      <c r="N34" s="5"/>
      <c r="O34" s="12" t="s">
        <v>384</v>
      </c>
    </row>
    <row r="35" spans="1:15" s="73" customFormat="1" ht="17.25" customHeight="1">
      <c r="A35" s="91"/>
      <c r="B35" s="12" t="s">
        <v>385</v>
      </c>
      <c r="C35" s="55">
        <v>22.72</v>
      </c>
      <c r="D35" s="55">
        <v>0.31</v>
      </c>
      <c r="E35" s="55">
        <v>6.81</v>
      </c>
      <c r="F35" s="55">
        <v>0.09</v>
      </c>
      <c r="G35" s="55">
        <v>-0.64</v>
      </c>
      <c r="H35" s="55"/>
      <c r="I35" s="55"/>
      <c r="J35" s="55">
        <v>6.57</v>
      </c>
      <c r="K35" s="5"/>
      <c r="L35" s="5"/>
      <c r="M35" s="5">
        <v>0.15</v>
      </c>
      <c r="N35" s="5"/>
      <c r="O35" s="5" t="s">
        <v>386</v>
      </c>
    </row>
    <row r="36" spans="1:15" s="73" customFormat="1" ht="17.25" customHeight="1">
      <c r="A36" s="91"/>
      <c r="B36" s="12" t="s">
        <v>387</v>
      </c>
      <c r="C36" s="55">
        <v>4.09</v>
      </c>
      <c r="D36" s="55">
        <v>0.47</v>
      </c>
      <c r="E36" s="55">
        <v>1.7</v>
      </c>
      <c r="F36" s="55">
        <v>0.03</v>
      </c>
      <c r="G36" s="55">
        <v>-0.26</v>
      </c>
      <c r="H36" s="55">
        <v>0</v>
      </c>
      <c r="I36" s="55"/>
      <c r="J36" s="55">
        <v>1.94</v>
      </c>
      <c r="K36" s="5"/>
      <c r="L36" s="5"/>
      <c r="M36" s="5">
        <v>0.26</v>
      </c>
      <c r="N36" s="5"/>
      <c r="O36" s="5" t="s">
        <v>388</v>
      </c>
    </row>
    <row r="37" spans="1:15" s="73" customFormat="1" ht="17.25" customHeight="1">
      <c r="A37" s="91"/>
      <c r="B37" s="12" t="s">
        <v>389</v>
      </c>
      <c r="C37" s="55">
        <v>1.43</v>
      </c>
      <c r="D37" s="55">
        <v>0.26</v>
      </c>
      <c r="E37" s="55">
        <v>0.43</v>
      </c>
      <c r="F37" s="55">
        <v>0.01</v>
      </c>
      <c r="G37" s="55">
        <v>0</v>
      </c>
      <c r="H37" s="55"/>
      <c r="I37" s="55"/>
      <c r="J37" s="55">
        <v>0.7</v>
      </c>
      <c r="K37" s="5"/>
      <c r="L37" s="5"/>
      <c r="M37" s="5">
        <v>0.17</v>
      </c>
      <c r="N37" s="5"/>
      <c r="O37" s="5" t="s">
        <v>397</v>
      </c>
    </row>
    <row r="38" spans="1:15" s="73" customFormat="1" ht="17.25" customHeight="1">
      <c r="A38" s="91"/>
      <c r="B38" s="12" t="s">
        <v>390</v>
      </c>
      <c r="C38" s="55">
        <v>3.54</v>
      </c>
      <c r="D38" s="55">
        <v>0.56000000000000005</v>
      </c>
      <c r="E38" s="55">
        <v>1.04</v>
      </c>
      <c r="F38" s="55">
        <v>0.02</v>
      </c>
      <c r="G38" s="55">
        <v>0.01</v>
      </c>
      <c r="H38" s="55">
        <v>-0.01</v>
      </c>
      <c r="I38" s="55"/>
      <c r="J38" s="55">
        <v>1.62</v>
      </c>
      <c r="K38" s="5"/>
      <c r="L38" s="5"/>
      <c r="M38" s="5">
        <v>0.37</v>
      </c>
      <c r="N38" s="5"/>
      <c r="O38" s="5" t="s">
        <v>398</v>
      </c>
    </row>
    <row r="39" spans="1:15" s="73" customFormat="1" ht="17.25" customHeight="1">
      <c r="A39" s="91"/>
      <c r="B39" s="12" t="s">
        <v>391</v>
      </c>
      <c r="C39" s="55">
        <v>3.42</v>
      </c>
      <c r="D39" s="55">
        <v>1.25</v>
      </c>
      <c r="E39" s="55">
        <v>0.73</v>
      </c>
      <c r="F39" s="55">
        <v>0</v>
      </c>
      <c r="G39" s="55">
        <v>-0.01</v>
      </c>
      <c r="H39" s="55"/>
      <c r="I39" s="55"/>
      <c r="J39" s="55">
        <v>1.97</v>
      </c>
      <c r="K39" s="5"/>
      <c r="L39" s="5"/>
      <c r="M39" s="5"/>
      <c r="N39" s="5"/>
      <c r="O39" s="5" t="s">
        <v>399</v>
      </c>
    </row>
    <row r="40" spans="1:15" s="73" customFormat="1" ht="30">
      <c r="A40" s="91">
        <v>19</v>
      </c>
      <c r="B40" s="12" t="s">
        <v>392</v>
      </c>
      <c r="C40" s="55"/>
      <c r="D40" s="55"/>
      <c r="E40" s="55"/>
      <c r="F40" s="55"/>
      <c r="G40" s="55"/>
      <c r="H40" s="55"/>
      <c r="I40" s="55"/>
      <c r="J40" s="55"/>
      <c r="K40" s="5"/>
      <c r="L40" s="5"/>
      <c r="M40" s="5"/>
      <c r="N40" s="5"/>
      <c r="O40" s="12" t="s">
        <v>667</v>
      </c>
    </row>
    <row r="41" spans="1:15" ht="30">
      <c r="A41" s="91">
        <v>20</v>
      </c>
      <c r="B41" s="12" t="s">
        <v>393</v>
      </c>
      <c r="C41" s="55">
        <v>61</v>
      </c>
      <c r="D41" s="55">
        <v>30.21</v>
      </c>
      <c r="E41" s="55">
        <v>0.5</v>
      </c>
      <c r="F41" s="55">
        <v>7.0000000000000007E-2</v>
      </c>
      <c r="G41" s="55">
        <v>-0.01</v>
      </c>
      <c r="H41" s="55">
        <v>0</v>
      </c>
      <c r="I41" s="55">
        <v>0.4</v>
      </c>
      <c r="J41" s="55">
        <v>31.17</v>
      </c>
      <c r="K41" s="5"/>
      <c r="L41" s="5"/>
      <c r="M41" s="5"/>
      <c r="N41" s="5"/>
      <c r="O41" s="12" t="s">
        <v>394</v>
      </c>
    </row>
    <row r="42" spans="1:15" s="73" customFormat="1" ht="20.100000000000001" customHeight="1">
      <c r="A42" s="32"/>
      <c r="B42" s="18"/>
      <c r="C42" s="75"/>
      <c r="D42" s="75"/>
      <c r="E42" s="75"/>
      <c r="F42" s="75"/>
      <c r="G42" s="75"/>
      <c r="H42" s="75"/>
      <c r="I42" s="75"/>
      <c r="J42" s="75"/>
      <c r="K42" s="7"/>
      <c r="L42" s="7"/>
      <c r="M42" s="7"/>
      <c r="N42" s="7"/>
      <c r="O42" s="18"/>
    </row>
    <row r="43" spans="1:15" s="73" customFormat="1" ht="20.100000000000001" customHeight="1">
      <c r="A43" s="2269" t="s">
        <v>467</v>
      </c>
      <c r="B43" s="2421"/>
      <c r="C43" s="2421"/>
      <c r="D43" s="2421"/>
      <c r="E43" s="2421"/>
      <c r="F43" s="2421"/>
      <c r="G43" s="2421"/>
      <c r="H43" s="2421"/>
      <c r="I43" s="2421"/>
      <c r="J43" s="2421"/>
      <c r="K43" s="2421"/>
      <c r="L43" s="2421"/>
      <c r="M43" s="2421"/>
      <c r="N43" s="2421"/>
      <c r="O43" s="2421"/>
    </row>
    <row r="44" spans="1:15" s="73" customFormat="1" ht="20.100000000000001" customHeight="1">
      <c r="A44" s="2184" t="s">
        <v>468</v>
      </c>
      <c r="B44" s="2184"/>
      <c r="C44" s="2184"/>
      <c r="D44" s="2184"/>
      <c r="E44" s="2184"/>
      <c r="F44" s="2184"/>
      <c r="G44" s="2184"/>
      <c r="H44" s="2184"/>
      <c r="I44" s="2184"/>
      <c r="J44" s="2184"/>
      <c r="K44" s="2184"/>
      <c r="L44" s="2184"/>
      <c r="M44" s="2184"/>
      <c r="N44" s="2184"/>
      <c r="O44" s="2184"/>
    </row>
    <row r="173" spans="7:7">
      <c r="G173" s="1"/>
    </row>
  </sheetData>
  <mergeCells count="4">
    <mergeCell ref="A44:O44"/>
    <mergeCell ref="A43:O43"/>
    <mergeCell ref="A1:O1"/>
    <mergeCell ref="A2:O2"/>
  </mergeCells>
  <conditionalFormatting sqref="A4:XFD41">
    <cfRule type="expression" dxfId="3" priority="1">
      <formula>MOD(ROW(),3)=1</formula>
    </cfRule>
  </conditionalFormatting>
  <printOptions horizontalCentered="1"/>
  <pageMargins left="0.70866141732283505" right="0.70866141732283505" top="0.511811023622047" bottom="0.39370078740157499" header="0.31496062992126" footer="0.31496062992126"/>
  <pageSetup paperSize="9" scale="45" orientation="landscape" r:id="rId1"/>
  <rowBreaks count="1" manualBreakCount="1">
    <brk id="34" max="14"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25A0D-5650-4626-A2EA-F5909390B87F}">
  <sheetPr>
    <pageSetUpPr fitToPage="1"/>
  </sheetPr>
  <dimension ref="A1:R87"/>
  <sheetViews>
    <sheetView showZeros="0" view="pageBreakPreview" zoomScaleSheetLayoutView="100" workbookViewId="0">
      <selection activeCell="S17" sqref="S17"/>
    </sheetView>
  </sheetViews>
  <sheetFormatPr defaultRowHeight="15"/>
  <cols>
    <col min="1" max="1" width="8.7109375" style="407" customWidth="1"/>
    <col min="2" max="2" width="16.28515625" style="404" customWidth="1"/>
    <col min="3" max="3" width="13.7109375" style="404" customWidth="1"/>
    <col min="4" max="6" width="10.42578125" style="404" hidden="1" customWidth="1"/>
    <col min="7" max="7" width="14.42578125" style="404" hidden="1" customWidth="1"/>
    <col min="8" max="8" width="10.140625" style="404" hidden="1" customWidth="1"/>
    <col min="9" max="9" width="10.85546875" style="404" hidden="1" customWidth="1"/>
    <col min="10" max="11" width="9.28515625" style="404" hidden="1" customWidth="1"/>
    <col min="12" max="12" width="9.42578125" style="404" customWidth="1"/>
    <col min="13" max="16" width="10.42578125" style="406" customWidth="1"/>
    <col min="17" max="17" width="19.5703125" style="405" bestFit="1" customWidth="1"/>
    <col min="18" max="18" width="16.5703125" style="405" customWidth="1"/>
    <col min="19" max="253" width="9.140625" style="404"/>
    <col min="254" max="254" width="6.5703125" style="404" customWidth="1"/>
    <col min="255" max="255" width="19" style="404" bestFit="1" customWidth="1"/>
    <col min="256" max="256" width="11.85546875" style="404" customWidth="1"/>
    <col min="257" max="265" width="9.140625" style="404" customWidth="1"/>
    <col min="266" max="266" width="13.28515625" style="404" customWidth="1"/>
    <col min="267" max="267" width="11.42578125" style="404" customWidth="1"/>
    <col min="268" max="268" width="11.85546875" style="404" customWidth="1"/>
    <col min="269" max="509" width="9.140625" style="404"/>
    <col min="510" max="510" width="6.5703125" style="404" customWidth="1"/>
    <col min="511" max="511" width="19" style="404" bestFit="1" customWidth="1"/>
    <col min="512" max="512" width="11.85546875" style="404" customWidth="1"/>
    <col min="513" max="521" width="9.140625" style="404" customWidth="1"/>
    <col min="522" max="522" width="13.28515625" style="404" customWidth="1"/>
    <col min="523" max="523" width="11.42578125" style="404" customWidth="1"/>
    <col min="524" max="524" width="11.85546875" style="404" customWidth="1"/>
    <col min="525" max="765" width="9.140625" style="404"/>
    <col min="766" max="766" width="6.5703125" style="404" customWidth="1"/>
    <col min="767" max="767" width="19" style="404" bestFit="1" customWidth="1"/>
    <col min="768" max="768" width="11.85546875" style="404" customWidth="1"/>
    <col min="769" max="777" width="9.140625" style="404" customWidth="1"/>
    <col min="778" max="778" width="13.28515625" style="404" customWidth="1"/>
    <col min="779" max="779" width="11.42578125" style="404" customWidth="1"/>
    <col min="780" max="780" width="11.85546875" style="404" customWidth="1"/>
    <col min="781" max="1021" width="9.140625" style="404"/>
    <col min="1022" max="1022" width="6.5703125" style="404" customWidth="1"/>
    <col min="1023" max="1023" width="19" style="404" bestFit="1" customWidth="1"/>
    <col min="1024" max="1024" width="11.85546875" style="404" customWidth="1"/>
    <col min="1025" max="1033" width="9.140625" style="404" customWidth="1"/>
    <col min="1034" max="1034" width="13.28515625" style="404" customWidth="1"/>
    <col min="1035" max="1035" width="11.42578125" style="404" customWidth="1"/>
    <col min="1036" max="1036" width="11.85546875" style="404" customWidth="1"/>
    <col min="1037" max="1277" width="9.140625" style="404"/>
    <col min="1278" max="1278" width="6.5703125" style="404" customWidth="1"/>
    <col min="1279" max="1279" width="19" style="404" bestFit="1" customWidth="1"/>
    <col min="1280" max="1280" width="11.85546875" style="404" customWidth="1"/>
    <col min="1281" max="1289" width="9.140625" style="404" customWidth="1"/>
    <col min="1290" max="1290" width="13.28515625" style="404" customWidth="1"/>
    <col min="1291" max="1291" width="11.42578125" style="404" customWidth="1"/>
    <col min="1292" max="1292" width="11.85546875" style="404" customWidth="1"/>
    <col min="1293" max="1533" width="9.140625" style="404"/>
    <col min="1534" max="1534" width="6.5703125" style="404" customWidth="1"/>
    <col min="1535" max="1535" width="19" style="404" bestFit="1" customWidth="1"/>
    <col min="1536" max="1536" width="11.85546875" style="404" customWidth="1"/>
    <col min="1537" max="1545" width="9.140625" style="404" customWidth="1"/>
    <col min="1546" max="1546" width="13.28515625" style="404" customWidth="1"/>
    <col min="1547" max="1547" width="11.42578125" style="404" customWidth="1"/>
    <col min="1548" max="1548" width="11.85546875" style="404" customWidth="1"/>
    <col min="1549" max="1789" width="9.140625" style="404"/>
    <col min="1790" max="1790" width="6.5703125" style="404" customWidth="1"/>
    <col min="1791" max="1791" width="19" style="404" bestFit="1" customWidth="1"/>
    <col min="1792" max="1792" width="11.85546875" style="404" customWidth="1"/>
    <col min="1793" max="1801" width="9.140625" style="404" customWidth="1"/>
    <col min="1802" max="1802" width="13.28515625" style="404" customWidth="1"/>
    <col min="1803" max="1803" width="11.42578125" style="404" customWidth="1"/>
    <col min="1804" max="1804" width="11.85546875" style="404" customWidth="1"/>
    <col min="1805" max="2045" width="9.140625" style="404"/>
    <col min="2046" max="2046" width="6.5703125" style="404" customWidth="1"/>
    <col min="2047" max="2047" width="19" style="404" bestFit="1" customWidth="1"/>
    <col min="2048" max="2048" width="11.85546875" style="404" customWidth="1"/>
    <col min="2049" max="2057" width="9.140625" style="404" customWidth="1"/>
    <col min="2058" max="2058" width="13.28515625" style="404" customWidth="1"/>
    <col min="2059" max="2059" width="11.42578125" style="404" customWidth="1"/>
    <col min="2060" max="2060" width="11.85546875" style="404" customWidth="1"/>
    <col min="2061" max="2301" width="9.140625" style="404"/>
    <col min="2302" max="2302" width="6.5703125" style="404" customWidth="1"/>
    <col min="2303" max="2303" width="19" style="404" bestFit="1" customWidth="1"/>
    <col min="2304" max="2304" width="11.85546875" style="404" customWidth="1"/>
    <col min="2305" max="2313" width="9.140625" style="404" customWidth="1"/>
    <col min="2314" max="2314" width="13.28515625" style="404" customWidth="1"/>
    <col min="2315" max="2315" width="11.42578125" style="404" customWidth="1"/>
    <col min="2316" max="2316" width="11.85546875" style="404" customWidth="1"/>
    <col min="2317" max="2557" width="9.140625" style="404"/>
    <col min="2558" max="2558" width="6.5703125" style="404" customWidth="1"/>
    <col min="2559" max="2559" width="19" style="404" bestFit="1" customWidth="1"/>
    <col min="2560" max="2560" width="11.85546875" style="404" customWidth="1"/>
    <col min="2561" max="2569" width="9.140625" style="404" customWidth="1"/>
    <col min="2570" max="2570" width="13.28515625" style="404" customWidth="1"/>
    <col min="2571" max="2571" width="11.42578125" style="404" customWidth="1"/>
    <col min="2572" max="2572" width="11.85546875" style="404" customWidth="1"/>
    <col min="2573" max="2813" width="9.140625" style="404"/>
    <col min="2814" max="2814" width="6.5703125" style="404" customWidth="1"/>
    <col min="2815" max="2815" width="19" style="404" bestFit="1" customWidth="1"/>
    <col min="2816" max="2816" width="11.85546875" style="404" customWidth="1"/>
    <col min="2817" max="2825" width="9.140625" style="404" customWidth="1"/>
    <col min="2826" max="2826" width="13.28515625" style="404" customWidth="1"/>
    <col min="2827" max="2827" width="11.42578125" style="404" customWidth="1"/>
    <col min="2828" max="2828" width="11.85546875" style="404" customWidth="1"/>
    <col min="2829" max="3069" width="9.140625" style="404"/>
    <col min="3070" max="3070" width="6.5703125" style="404" customWidth="1"/>
    <col min="3071" max="3071" width="19" style="404" bestFit="1" customWidth="1"/>
    <col min="3072" max="3072" width="11.85546875" style="404" customWidth="1"/>
    <col min="3073" max="3081" width="9.140625" style="404" customWidth="1"/>
    <col min="3082" max="3082" width="13.28515625" style="404" customWidth="1"/>
    <col min="3083" max="3083" width="11.42578125" style="404" customWidth="1"/>
    <col min="3084" max="3084" width="11.85546875" style="404" customWidth="1"/>
    <col min="3085" max="3325" width="9.140625" style="404"/>
    <col min="3326" max="3326" width="6.5703125" style="404" customWidth="1"/>
    <col min="3327" max="3327" width="19" style="404" bestFit="1" customWidth="1"/>
    <col min="3328" max="3328" width="11.85546875" style="404" customWidth="1"/>
    <col min="3329" max="3337" width="9.140625" style="404" customWidth="1"/>
    <col min="3338" max="3338" width="13.28515625" style="404" customWidth="1"/>
    <col min="3339" max="3339" width="11.42578125" style="404" customWidth="1"/>
    <col min="3340" max="3340" width="11.85546875" style="404" customWidth="1"/>
    <col min="3341" max="3581" width="9.140625" style="404"/>
    <col min="3582" max="3582" width="6.5703125" style="404" customWidth="1"/>
    <col min="3583" max="3583" width="19" style="404" bestFit="1" customWidth="1"/>
    <col min="3584" max="3584" width="11.85546875" style="404" customWidth="1"/>
    <col min="3585" max="3593" width="9.140625" style="404" customWidth="1"/>
    <col min="3594" max="3594" width="13.28515625" style="404" customWidth="1"/>
    <col min="3595" max="3595" width="11.42578125" style="404" customWidth="1"/>
    <col min="3596" max="3596" width="11.85546875" style="404" customWidth="1"/>
    <col min="3597" max="3837" width="9.140625" style="404"/>
    <col min="3838" max="3838" width="6.5703125" style="404" customWidth="1"/>
    <col min="3839" max="3839" width="19" style="404" bestFit="1" customWidth="1"/>
    <col min="3840" max="3840" width="11.85546875" style="404" customWidth="1"/>
    <col min="3841" max="3849" width="9.140625" style="404" customWidth="1"/>
    <col min="3850" max="3850" width="13.28515625" style="404" customWidth="1"/>
    <col min="3851" max="3851" width="11.42578125" style="404" customWidth="1"/>
    <col min="3852" max="3852" width="11.85546875" style="404" customWidth="1"/>
    <col min="3853" max="4093" width="9.140625" style="404"/>
    <col min="4094" max="4094" width="6.5703125" style="404" customWidth="1"/>
    <col min="4095" max="4095" width="19" style="404" bestFit="1" customWidth="1"/>
    <col min="4096" max="4096" width="11.85546875" style="404" customWidth="1"/>
    <col min="4097" max="4105" width="9.140625" style="404" customWidth="1"/>
    <col min="4106" max="4106" width="13.28515625" style="404" customWidth="1"/>
    <col min="4107" max="4107" width="11.42578125" style="404" customWidth="1"/>
    <col min="4108" max="4108" width="11.85546875" style="404" customWidth="1"/>
    <col min="4109" max="4349" width="9.140625" style="404"/>
    <col min="4350" max="4350" width="6.5703125" style="404" customWidth="1"/>
    <col min="4351" max="4351" width="19" style="404" bestFit="1" customWidth="1"/>
    <col min="4352" max="4352" width="11.85546875" style="404" customWidth="1"/>
    <col min="4353" max="4361" width="9.140625" style="404" customWidth="1"/>
    <col min="4362" max="4362" width="13.28515625" style="404" customWidth="1"/>
    <col min="4363" max="4363" width="11.42578125" style="404" customWidth="1"/>
    <col min="4364" max="4364" width="11.85546875" style="404" customWidth="1"/>
    <col min="4365" max="4605" width="9.140625" style="404"/>
    <col min="4606" max="4606" width="6.5703125" style="404" customWidth="1"/>
    <col min="4607" max="4607" width="19" style="404" bestFit="1" customWidth="1"/>
    <col min="4608" max="4608" width="11.85546875" style="404" customWidth="1"/>
    <col min="4609" max="4617" width="9.140625" style="404" customWidth="1"/>
    <col min="4618" max="4618" width="13.28515625" style="404" customWidth="1"/>
    <col min="4619" max="4619" width="11.42578125" style="404" customWidth="1"/>
    <col min="4620" max="4620" width="11.85546875" style="404" customWidth="1"/>
    <col min="4621" max="4861" width="9.140625" style="404"/>
    <col min="4862" max="4862" width="6.5703125" style="404" customWidth="1"/>
    <col min="4863" max="4863" width="19" style="404" bestFit="1" customWidth="1"/>
    <col min="4864" max="4864" width="11.85546875" style="404" customWidth="1"/>
    <col min="4865" max="4873" width="9.140625" style="404" customWidth="1"/>
    <col min="4874" max="4874" width="13.28515625" style="404" customWidth="1"/>
    <col min="4875" max="4875" width="11.42578125" style="404" customWidth="1"/>
    <col min="4876" max="4876" width="11.85546875" style="404" customWidth="1"/>
    <col min="4877" max="5117" width="9.140625" style="404"/>
    <col min="5118" max="5118" width="6.5703125" style="404" customWidth="1"/>
    <col min="5119" max="5119" width="19" style="404" bestFit="1" customWidth="1"/>
    <col min="5120" max="5120" width="11.85546875" style="404" customWidth="1"/>
    <col min="5121" max="5129" width="9.140625" style="404" customWidth="1"/>
    <col min="5130" max="5130" width="13.28515625" style="404" customWidth="1"/>
    <col min="5131" max="5131" width="11.42578125" style="404" customWidth="1"/>
    <col min="5132" max="5132" width="11.85546875" style="404" customWidth="1"/>
    <col min="5133" max="5373" width="9.140625" style="404"/>
    <col min="5374" max="5374" width="6.5703125" style="404" customWidth="1"/>
    <col min="5375" max="5375" width="19" style="404" bestFit="1" customWidth="1"/>
    <col min="5376" max="5376" width="11.85546875" style="404" customWidth="1"/>
    <col min="5377" max="5385" width="9.140625" style="404" customWidth="1"/>
    <col min="5386" max="5386" width="13.28515625" style="404" customWidth="1"/>
    <col min="5387" max="5387" width="11.42578125" style="404" customWidth="1"/>
    <col min="5388" max="5388" width="11.85546875" style="404" customWidth="1"/>
    <col min="5389" max="5629" width="9.140625" style="404"/>
    <col min="5630" max="5630" width="6.5703125" style="404" customWidth="1"/>
    <col min="5631" max="5631" width="19" style="404" bestFit="1" customWidth="1"/>
    <col min="5632" max="5632" width="11.85546875" style="404" customWidth="1"/>
    <col min="5633" max="5641" width="9.140625" style="404" customWidth="1"/>
    <col min="5642" max="5642" width="13.28515625" style="404" customWidth="1"/>
    <col min="5643" max="5643" width="11.42578125" style="404" customWidth="1"/>
    <col min="5644" max="5644" width="11.85546875" style="404" customWidth="1"/>
    <col min="5645" max="5885" width="9.140625" style="404"/>
    <col min="5886" max="5886" width="6.5703125" style="404" customWidth="1"/>
    <col min="5887" max="5887" width="19" style="404" bestFit="1" customWidth="1"/>
    <col min="5888" max="5888" width="11.85546875" style="404" customWidth="1"/>
    <col min="5889" max="5897" width="9.140625" style="404" customWidth="1"/>
    <col min="5898" max="5898" width="13.28515625" style="404" customWidth="1"/>
    <col min="5899" max="5899" width="11.42578125" style="404" customWidth="1"/>
    <col min="5900" max="5900" width="11.85546875" style="404" customWidth="1"/>
    <col min="5901" max="6141" width="9.140625" style="404"/>
    <col min="6142" max="6142" width="6.5703125" style="404" customWidth="1"/>
    <col min="6143" max="6143" width="19" style="404" bestFit="1" customWidth="1"/>
    <col min="6144" max="6144" width="11.85546875" style="404" customWidth="1"/>
    <col min="6145" max="6153" width="9.140625" style="404" customWidth="1"/>
    <col min="6154" max="6154" width="13.28515625" style="404" customWidth="1"/>
    <col min="6155" max="6155" width="11.42578125" style="404" customWidth="1"/>
    <col min="6156" max="6156" width="11.85546875" style="404" customWidth="1"/>
    <col min="6157" max="6397" width="9.140625" style="404"/>
    <col min="6398" max="6398" width="6.5703125" style="404" customWidth="1"/>
    <col min="6399" max="6399" width="19" style="404" bestFit="1" customWidth="1"/>
    <col min="6400" max="6400" width="11.85546875" style="404" customWidth="1"/>
    <col min="6401" max="6409" width="9.140625" style="404" customWidth="1"/>
    <col min="6410" max="6410" width="13.28515625" style="404" customWidth="1"/>
    <col min="6411" max="6411" width="11.42578125" style="404" customWidth="1"/>
    <col min="6412" max="6412" width="11.85546875" style="404" customWidth="1"/>
    <col min="6413" max="6653" width="9.140625" style="404"/>
    <col min="6654" max="6654" width="6.5703125" style="404" customWidth="1"/>
    <col min="6655" max="6655" width="19" style="404" bestFit="1" customWidth="1"/>
    <col min="6656" max="6656" width="11.85546875" style="404" customWidth="1"/>
    <col min="6657" max="6665" width="9.140625" style="404" customWidth="1"/>
    <col min="6666" max="6666" width="13.28515625" style="404" customWidth="1"/>
    <col min="6667" max="6667" width="11.42578125" style="404" customWidth="1"/>
    <col min="6668" max="6668" width="11.85546875" style="404" customWidth="1"/>
    <col min="6669" max="6909" width="9.140625" style="404"/>
    <col min="6910" max="6910" width="6.5703125" style="404" customWidth="1"/>
    <col min="6911" max="6911" width="19" style="404" bestFit="1" customWidth="1"/>
    <col min="6912" max="6912" width="11.85546875" style="404" customWidth="1"/>
    <col min="6913" max="6921" width="9.140625" style="404" customWidth="1"/>
    <col min="6922" max="6922" width="13.28515625" style="404" customWidth="1"/>
    <col min="6923" max="6923" width="11.42578125" style="404" customWidth="1"/>
    <col min="6924" max="6924" width="11.85546875" style="404" customWidth="1"/>
    <col min="6925" max="7165" width="9.140625" style="404"/>
    <col min="7166" max="7166" width="6.5703125" style="404" customWidth="1"/>
    <col min="7167" max="7167" width="19" style="404" bestFit="1" customWidth="1"/>
    <col min="7168" max="7168" width="11.85546875" style="404" customWidth="1"/>
    <col min="7169" max="7177" width="9.140625" style="404" customWidth="1"/>
    <col min="7178" max="7178" width="13.28515625" style="404" customWidth="1"/>
    <col min="7179" max="7179" width="11.42578125" style="404" customWidth="1"/>
    <col min="7180" max="7180" width="11.85546875" style="404" customWidth="1"/>
    <col min="7181" max="7421" width="9.140625" style="404"/>
    <col min="7422" max="7422" width="6.5703125" style="404" customWidth="1"/>
    <col min="7423" max="7423" width="19" style="404" bestFit="1" customWidth="1"/>
    <col min="7424" max="7424" width="11.85546875" style="404" customWidth="1"/>
    <col min="7425" max="7433" width="9.140625" style="404" customWidth="1"/>
    <col min="7434" max="7434" width="13.28515625" style="404" customWidth="1"/>
    <col min="7435" max="7435" width="11.42578125" style="404" customWidth="1"/>
    <col min="7436" max="7436" width="11.85546875" style="404" customWidth="1"/>
    <col min="7437" max="7677" width="9.140625" style="404"/>
    <col min="7678" max="7678" width="6.5703125" style="404" customWidth="1"/>
    <col min="7679" max="7679" width="19" style="404" bestFit="1" customWidth="1"/>
    <col min="7680" max="7680" width="11.85546875" style="404" customWidth="1"/>
    <col min="7681" max="7689" width="9.140625" style="404" customWidth="1"/>
    <col min="7690" max="7690" width="13.28515625" style="404" customWidth="1"/>
    <col min="7691" max="7691" width="11.42578125" style="404" customWidth="1"/>
    <col min="7692" max="7692" width="11.85546875" style="404" customWidth="1"/>
    <col min="7693" max="7933" width="9.140625" style="404"/>
    <col min="7934" max="7934" width="6.5703125" style="404" customWidth="1"/>
    <col min="7935" max="7935" width="19" style="404" bestFit="1" customWidth="1"/>
    <col min="7936" max="7936" width="11.85546875" style="404" customWidth="1"/>
    <col min="7937" max="7945" width="9.140625" style="404" customWidth="1"/>
    <col min="7946" max="7946" width="13.28515625" style="404" customWidth="1"/>
    <col min="7947" max="7947" width="11.42578125" style="404" customWidth="1"/>
    <col min="7948" max="7948" width="11.85546875" style="404" customWidth="1"/>
    <col min="7949" max="8189" width="9.140625" style="404"/>
    <col min="8190" max="8190" width="6.5703125" style="404" customWidth="1"/>
    <col min="8191" max="8191" width="19" style="404" bestFit="1" customWidth="1"/>
    <col min="8192" max="8192" width="11.85546875" style="404" customWidth="1"/>
    <col min="8193" max="8201" width="9.140625" style="404" customWidth="1"/>
    <col min="8202" max="8202" width="13.28515625" style="404" customWidth="1"/>
    <col min="8203" max="8203" width="11.42578125" style="404" customWidth="1"/>
    <col min="8204" max="8204" width="11.85546875" style="404" customWidth="1"/>
    <col min="8205" max="8445" width="9.140625" style="404"/>
    <col min="8446" max="8446" width="6.5703125" style="404" customWidth="1"/>
    <col min="8447" max="8447" width="19" style="404" bestFit="1" customWidth="1"/>
    <col min="8448" max="8448" width="11.85546875" style="404" customWidth="1"/>
    <col min="8449" max="8457" width="9.140625" style="404" customWidth="1"/>
    <col min="8458" max="8458" width="13.28515625" style="404" customWidth="1"/>
    <col min="8459" max="8459" width="11.42578125" style="404" customWidth="1"/>
    <col min="8460" max="8460" width="11.85546875" style="404" customWidth="1"/>
    <col min="8461" max="8701" width="9.140625" style="404"/>
    <col min="8702" max="8702" width="6.5703125" style="404" customWidth="1"/>
    <col min="8703" max="8703" width="19" style="404" bestFit="1" customWidth="1"/>
    <col min="8704" max="8704" width="11.85546875" style="404" customWidth="1"/>
    <col min="8705" max="8713" width="9.140625" style="404" customWidth="1"/>
    <col min="8714" max="8714" width="13.28515625" style="404" customWidth="1"/>
    <col min="8715" max="8715" width="11.42578125" style="404" customWidth="1"/>
    <col min="8716" max="8716" width="11.85546875" style="404" customWidth="1"/>
    <col min="8717" max="8957" width="9.140625" style="404"/>
    <col min="8958" max="8958" width="6.5703125" style="404" customWidth="1"/>
    <col min="8959" max="8959" width="19" style="404" bestFit="1" customWidth="1"/>
    <col min="8960" max="8960" width="11.85546875" style="404" customWidth="1"/>
    <col min="8961" max="8969" width="9.140625" style="404" customWidth="1"/>
    <col min="8970" max="8970" width="13.28515625" style="404" customWidth="1"/>
    <col min="8971" max="8971" width="11.42578125" style="404" customWidth="1"/>
    <col min="8972" max="8972" width="11.85546875" style="404" customWidth="1"/>
    <col min="8973" max="9213" width="9.140625" style="404"/>
    <col min="9214" max="9214" width="6.5703125" style="404" customWidth="1"/>
    <col min="9215" max="9215" width="19" style="404" bestFit="1" customWidth="1"/>
    <col min="9216" max="9216" width="11.85546875" style="404" customWidth="1"/>
    <col min="9217" max="9225" width="9.140625" style="404" customWidth="1"/>
    <col min="9226" max="9226" width="13.28515625" style="404" customWidth="1"/>
    <col min="9227" max="9227" width="11.42578125" style="404" customWidth="1"/>
    <col min="9228" max="9228" width="11.85546875" style="404" customWidth="1"/>
    <col min="9229" max="9469" width="9.140625" style="404"/>
    <col min="9470" max="9470" width="6.5703125" style="404" customWidth="1"/>
    <col min="9471" max="9471" width="19" style="404" bestFit="1" customWidth="1"/>
    <col min="9472" max="9472" width="11.85546875" style="404" customWidth="1"/>
    <col min="9473" max="9481" width="9.140625" style="404" customWidth="1"/>
    <col min="9482" max="9482" width="13.28515625" style="404" customWidth="1"/>
    <col min="9483" max="9483" width="11.42578125" style="404" customWidth="1"/>
    <col min="9484" max="9484" width="11.85546875" style="404" customWidth="1"/>
    <col min="9485" max="9725" width="9.140625" style="404"/>
    <col min="9726" max="9726" width="6.5703125" style="404" customWidth="1"/>
    <col min="9727" max="9727" width="19" style="404" bestFit="1" customWidth="1"/>
    <col min="9728" max="9728" width="11.85546875" style="404" customWidth="1"/>
    <col min="9729" max="9737" width="9.140625" style="404" customWidth="1"/>
    <col min="9738" max="9738" width="13.28515625" style="404" customWidth="1"/>
    <col min="9739" max="9739" width="11.42578125" style="404" customWidth="1"/>
    <col min="9740" max="9740" width="11.85546875" style="404" customWidth="1"/>
    <col min="9741" max="9981" width="9.140625" style="404"/>
    <col min="9982" max="9982" width="6.5703125" style="404" customWidth="1"/>
    <col min="9983" max="9983" width="19" style="404" bestFit="1" customWidth="1"/>
    <col min="9984" max="9984" width="11.85546875" style="404" customWidth="1"/>
    <col min="9985" max="9993" width="9.140625" style="404" customWidth="1"/>
    <col min="9994" max="9994" width="13.28515625" style="404" customWidth="1"/>
    <col min="9995" max="9995" width="11.42578125" style="404" customWidth="1"/>
    <col min="9996" max="9996" width="11.85546875" style="404" customWidth="1"/>
    <col min="9997" max="10237" width="9.140625" style="404"/>
    <col min="10238" max="10238" width="6.5703125" style="404" customWidth="1"/>
    <col min="10239" max="10239" width="19" style="404" bestFit="1" customWidth="1"/>
    <col min="10240" max="10240" width="11.85546875" style="404" customWidth="1"/>
    <col min="10241" max="10249" width="9.140625" style="404" customWidth="1"/>
    <col min="10250" max="10250" width="13.28515625" style="404" customWidth="1"/>
    <col min="10251" max="10251" width="11.42578125" style="404" customWidth="1"/>
    <col min="10252" max="10252" width="11.85546875" style="404" customWidth="1"/>
    <col min="10253" max="10493" width="9.140625" style="404"/>
    <col min="10494" max="10494" width="6.5703125" style="404" customWidth="1"/>
    <col min="10495" max="10495" width="19" style="404" bestFit="1" customWidth="1"/>
    <col min="10496" max="10496" width="11.85546875" style="404" customWidth="1"/>
    <col min="10497" max="10505" width="9.140625" style="404" customWidth="1"/>
    <col min="10506" max="10506" width="13.28515625" style="404" customWidth="1"/>
    <col min="10507" max="10507" width="11.42578125" style="404" customWidth="1"/>
    <col min="10508" max="10508" width="11.85546875" style="404" customWidth="1"/>
    <col min="10509" max="10749" width="9.140625" style="404"/>
    <col min="10750" max="10750" width="6.5703125" style="404" customWidth="1"/>
    <col min="10751" max="10751" width="19" style="404" bestFit="1" customWidth="1"/>
    <col min="10752" max="10752" width="11.85546875" style="404" customWidth="1"/>
    <col min="10753" max="10761" width="9.140625" style="404" customWidth="1"/>
    <col min="10762" max="10762" width="13.28515625" style="404" customWidth="1"/>
    <col min="10763" max="10763" width="11.42578125" style="404" customWidth="1"/>
    <col min="10764" max="10764" width="11.85546875" style="404" customWidth="1"/>
    <col min="10765" max="11005" width="9.140625" style="404"/>
    <col min="11006" max="11006" width="6.5703125" style="404" customWidth="1"/>
    <col min="11007" max="11007" width="19" style="404" bestFit="1" customWidth="1"/>
    <col min="11008" max="11008" width="11.85546875" style="404" customWidth="1"/>
    <col min="11009" max="11017" width="9.140625" style="404" customWidth="1"/>
    <col min="11018" max="11018" width="13.28515625" style="404" customWidth="1"/>
    <col min="11019" max="11019" width="11.42578125" style="404" customWidth="1"/>
    <col min="11020" max="11020" width="11.85546875" style="404" customWidth="1"/>
    <col min="11021" max="11261" width="9.140625" style="404"/>
    <col min="11262" max="11262" width="6.5703125" style="404" customWidth="1"/>
    <col min="11263" max="11263" width="19" style="404" bestFit="1" customWidth="1"/>
    <col min="11264" max="11264" width="11.85546875" style="404" customWidth="1"/>
    <col min="11265" max="11273" width="9.140625" style="404" customWidth="1"/>
    <col min="11274" max="11274" width="13.28515625" style="404" customWidth="1"/>
    <col min="11275" max="11275" width="11.42578125" style="404" customWidth="1"/>
    <col min="11276" max="11276" width="11.85546875" style="404" customWidth="1"/>
    <col min="11277" max="11517" width="9.140625" style="404"/>
    <col min="11518" max="11518" width="6.5703125" style="404" customWidth="1"/>
    <col min="11519" max="11519" width="19" style="404" bestFit="1" customWidth="1"/>
    <col min="11520" max="11520" width="11.85546875" style="404" customWidth="1"/>
    <col min="11521" max="11529" width="9.140625" style="404" customWidth="1"/>
    <col min="11530" max="11530" width="13.28515625" style="404" customWidth="1"/>
    <col min="11531" max="11531" width="11.42578125" style="404" customWidth="1"/>
    <col min="11532" max="11532" width="11.85546875" style="404" customWidth="1"/>
    <col min="11533" max="11773" width="9.140625" style="404"/>
    <col min="11774" max="11774" width="6.5703125" style="404" customWidth="1"/>
    <col min="11775" max="11775" width="19" style="404" bestFit="1" customWidth="1"/>
    <col min="11776" max="11776" width="11.85546875" style="404" customWidth="1"/>
    <col min="11777" max="11785" width="9.140625" style="404" customWidth="1"/>
    <col min="11786" max="11786" width="13.28515625" style="404" customWidth="1"/>
    <col min="11787" max="11787" width="11.42578125" style="404" customWidth="1"/>
    <col min="11788" max="11788" width="11.85546875" style="404" customWidth="1"/>
    <col min="11789" max="12029" width="9.140625" style="404"/>
    <col min="12030" max="12030" width="6.5703125" style="404" customWidth="1"/>
    <col min="12031" max="12031" width="19" style="404" bestFit="1" customWidth="1"/>
    <col min="12032" max="12032" width="11.85546875" style="404" customWidth="1"/>
    <col min="12033" max="12041" width="9.140625" style="404" customWidth="1"/>
    <col min="12042" max="12042" width="13.28515625" style="404" customWidth="1"/>
    <col min="12043" max="12043" width="11.42578125" style="404" customWidth="1"/>
    <col min="12044" max="12044" width="11.85546875" style="404" customWidth="1"/>
    <col min="12045" max="12285" width="9.140625" style="404"/>
    <col min="12286" max="12286" width="6.5703125" style="404" customWidth="1"/>
    <col min="12287" max="12287" width="19" style="404" bestFit="1" customWidth="1"/>
    <col min="12288" max="12288" width="11.85546875" style="404" customWidth="1"/>
    <col min="12289" max="12297" width="9.140625" style="404" customWidth="1"/>
    <col min="12298" max="12298" width="13.28515625" style="404" customWidth="1"/>
    <col min="12299" max="12299" width="11.42578125" style="404" customWidth="1"/>
    <col min="12300" max="12300" width="11.85546875" style="404" customWidth="1"/>
    <col min="12301" max="12541" width="9.140625" style="404"/>
    <col min="12542" max="12542" width="6.5703125" style="404" customWidth="1"/>
    <col min="12543" max="12543" width="19" style="404" bestFit="1" customWidth="1"/>
    <col min="12544" max="12544" width="11.85546875" style="404" customWidth="1"/>
    <col min="12545" max="12553" width="9.140625" style="404" customWidth="1"/>
    <col min="12554" max="12554" width="13.28515625" style="404" customWidth="1"/>
    <col min="12555" max="12555" width="11.42578125" style="404" customWidth="1"/>
    <col min="12556" max="12556" width="11.85546875" style="404" customWidth="1"/>
    <col min="12557" max="12797" width="9.140625" style="404"/>
    <col min="12798" max="12798" width="6.5703125" style="404" customWidth="1"/>
    <col min="12799" max="12799" width="19" style="404" bestFit="1" customWidth="1"/>
    <col min="12800" max="12800" width="11.85546875" style="404" customWidth="1"/>
    <col min="12801" max="12809" width="9.140625" style="404" customWidth="1"/>
    <col min="12810" max="12810" width="13.28515625" style="404" customWidth="1"/>
    <col min="12811" max="12811" width="11.42578125" style="404" customWidth="1"/>
    <col min="12812" max="12812" width="11.85546875" style="404" customWidth="1"/>
    <col min="12813" max="13053" width="9.140625" style="404"/>
    <col min="13054" max="13054" width="6.5703125" style="404" customWidth="1"/>
    <col min="13055" max="13055" width="19" style="404" bestFit="1" customWidth="1"/>
    <col min="13056" max="13056" width="11.85546875" style="404" customWidth="1"/>
    <col min="13057" max="13065" width="9.140625" style="404" customWidth="1"/>
    <col min="13066" max="13066" width="13.28515625" style="404" customWidth="1"/>
    <col min="13067" max="13067" width="11.42578125" style="404" customWidth="1"/>
    <col min="13068" max="13068" width="11.85546875" style="404" customWidth="1"/>
    <col min="13069" max="13309" width="9.140625" style="404"/>
    <col min="13310" max="13310" width="6.5703125" style="404" customWidth="1"/>
    <col min="13311" max="13311" width="19" style="404" bestFit="1" customWidth="1"/>
    <col min="13312" max="13312" width="11.85546875" style="404" customWidth="1"/>
    <col min="13313" max="13321" width="9.140625" style="404" customWidth="1"/>
    <col min="13322" max="13322" width="13.28515625" style="404" customWidth="1"/>
    <col min="13323" max="13323" width="11.42578125" style="404" customWidth="1"/>
    <col min="13324" max="13324" width="11.85546875" style="404" customWidth="1"/>
    <col min="13325" max="13565" width="9.140625" style="404"/>
    <col min="13566" max="13566" width="6.5703125" style="404" customWidth="1"/>
    <col min="13567" max="13567" width="19" style="404" bestFit="1" customWidth="1"/>
    <col min="13568" max="13568" width="11.85546875" style="404" customWidth="1"/>
    <col min="13569" max="13577" width="9.140625" style="404" customWidth="1"/>
    <col min="13578" max="13578" width="13.28515625" style="404" customWidth="1"/>
    <col min="13579" max="13579" width="11.42578125" style="404" customWidth="1"/>
    <col min="13580" max="13580" width="11.85546875" style="404" customWidth="1"/>
    <col min="13581" max="13821" width="9.140625" style="404"/>
    <col min="13822" max="13822" width="6.5703125" style="404" customWidth="1"/>
    <col min="13823" max="13823" width="19" style="404" bestFit="1" customWidth="1"/>
    <col min="13824" max="13824" width="11.85546875" style="404" customWidth="1"/>
    <col min="13825" max="13833" width="9.140625" style="404" customWidth="1"/>
    <col min="13834" max="13834" width="13.28515625" style="404" customWidth="1"/>
    <col min="13835" max="13835" width="11.42578125" style="404" customWidth="1"/>
    <col min="13836" max="13836" width="11.85546875" style="404" customWidth="1"/>
    <col min="13837" max="14077" width="9.140625" style="404"/>
    <col min="14078" max="14078" width="6.5703125" style="404" customWidth="1"/>
    <col min="14079" max="14079" width="19" style="404" bestFit="1" customWidth="1"/>
    <col min="14080" max="14080" width="11.85546875" style="404" customWidth="1"/>
    <col min="14081" max="14089" width="9.140625" style="404" customWidth="1"/>
    <col min="14090" max="14090" width="13.28515625" style="404" customWidth="1"/>
    <col min="14091" max="14091" width="11.42578125" style="404" customWidth="1"/>
    <col min="14092" max="14092" width="11.85546875" style="404" customWidth="1"/>
    <col min="14093" max="14333" width="9.140625" style="404"/>
    <col min="14334" max="14334" width="6.5703125" style="404" customWidth="1"/>
    <col min="14335" max="14335" width="19" style="404" bestFit="1" customWidth="1"/>
    <col min="14336" max="14336" width="11.85546875" style="404" customWidth="1"/>
    <col min="14337" max="14345" width="9.140625" style="404" customWidth="1"/>
    <col min="14346" max="14346" width="13.28515625" style="404" customWidth="1"/>
    <col min="14347" max="14347" width="11.42578125" style="404" customWidth="1"/>
    <col min="14348" max="14348" width="11.85546875" style="404" customWidth="1"/>
    <col min="14349" max="14589" width="9.140625" style="404"/>
    <col min="14590" max="14590" width="6.5703125" style="404" customWidth="1"/>
    <col min="14591" max="14591" width="19" style="404" bestFit="1" customWidth="1"/>
    <col min="14592" max="14592" width="11.85546875" style="404" customWidth="1"/>
    <col min="14593" max="14601" width="9.140625" style="404" customWidth="1"/>
    <col min="14602" max="14602" width="13.28515625" style="404" customWidth="1"/>
    <col min="14603" max="14603" width="11.42578125" style="404" customWidth="1"/>
    <col min="14604" max="14604" width="11.85546875" style="404" customWidth="1"/>
    <col min="14605" max="14845" width="9.140625" style="404"/>
    <col min="14846" max="14846" width="6.5703125" style="404" customWidth="1"/>
    <col min="14847" max="14847" width="19" style="404" bestFit="1" customWidth="1"/>
    <col min="14848" max="14848" width="11.85546875" style="404" customWidth="1"/>
    <col min="14849" max="14857" width="9.140625" style="404" customWidth="1"/>
    <col min="14858" max="14858" width="13.28515625" style="404" customWidth="1"/>
    <col min="14859" max="14859" width="11.42578125" style="404" customWidth="1"/>
    <col min="14860" max="14860" width="11.85546875" style="404" customWidth="1"/>
    <col min="14861" max="15101" width="9.140625" style="404"/>
    <col min="15102" max="15102" width="6.5703125" style="404" customWidth="1"/>
    <col min="15103" max="15103" width="19" style="404" bestFit="1" customWidth="1"/>
    <col min="15104" max="15104" width="11.85546875" style="404" customWidth="1"/>
    <col min="15105" max="15113" width="9.140625" style="404" customWidth="1"/>
    <col min="15114" max="15114" width="13.28515625" style="404" customWidth="1"/>
    <col min="15115" max="15115" width="11.42578125" style="404" customWidth="1"/>
    <col min="15116" max="15116" width="11.85546875" style="404" customWidth="1"/>
    <col min="15117" max="15357" width="9.140625" style="404"/>
    <col min="15358" max="15358" width="6.5703125" style="404" customWidth="1"/>
    <col min="15359" max="15359" width="19" style="404" bestFit="1" customWidth="1"/>
    <col min="15360" max="15360" width="11.85546875" style="404" customWidth="1"/>
    <col min="15361" max="15369" width="9.140625" style="404" customWidth="1"/>
    <col min="15370" max="15370" width="13.28515625" style="404" customWidth="1"/>
    <col min="15371" max="15371" width="11.42578125" style="404" customWidth="1"/>
    <col min="15372" max="15372" width="11.85546875" style="404" customWidth="1"/>
    <col min="15373" max="15613" width="9.140625" style="404"/>
    <col min="15614" max="15614" width="6.5703125" style="404" customWidth="1"/>
    <col min="15615" max="15615" width="19" style="404" bestFit="1" customWidth="1"/>
    <col min="15616" max="15616" width="11.85546875" style="404" customWidth="1"/>
    <col min="15617" max="15625" width="9.140625" style="404" customWidth="1"/>
    <col min="15626" max="15626" width="13.28515625" style="404" customWidth="1"/>
    <col min="15627" max="15627" width="11.42578125" style="404" customWidth="1"/>
    <col min="15628" max="15628" width="11.85546875" style="404" customWidth="1"/>
    <col min="15629" max="15869" width="9.140625" style="404"/>
    <col min="15870" max="15870" width="6.5703125" style="404" customWidth="1"/>
    <col min="15871" max="15871" width="19" style="404" bestFit="1" customWidth="1"/>
    <col min="15872" max="15872" width="11.85546875" style="404" customWidth="1"/>
    <col min="15873" max="15881" width="9.140625" style="404" customWidth="1"/>
    <col min="15882" max="15882" width="13.28515625" style="404" customWidth="1"/>
    <col min="15883" max="15883" width="11.42578125" style="404" customWidth="1"/>
    <col min="15884" max="15884" width="11.85546875" style="404" customWidth="1"/>
    <col min="15885" max="16125" width="9.140625" style="404"/>
    <col min="16126" max="16126" width="6.5703125" style="404" customWidth="1"/>
    <col min="16127" max="16127" width="19" style="404" bestFit="1" customWidth="1"/>
    <col min="16128" max="16128" width="11.85546875" style="404" customWidth="1"/>
    <col min="16129" max="16137" width="9.140625" style="404" customWidth="1"/>
    <col min="16138" max="16138" width="13.28515625" style="404" customWidth="1"/>
    <col min="16139" max="16139" width="11.42578125" style="404" customWidth="1"/>
    <col min="16140" max="16140" width="11.85546875" style="404" customWidth="1"/>
    <col min="16141" max="16384" width="9.140625" style="404"/>
  </cols>
  <sheetData>
    <row r="1" spans="1:18" ht="38.25" customHeight="1" thickTop="1">
      <c r="A1" s="1966" t="s">
        <v>2591</v>
      </c>
      <c r="B1" s="1967"/>
      <c r="C1" s="1967"/>
      <c r="D1" s="1967"/>
      <c r="E1" s="1967"/>
      <c r="F1" s="1967"/>
      <c r="G1" s="1967"/>
      <c r="H1" s="1967"/>
      <c r="I1" s="1967"/>
      <c r="J1" s="1967"/>
      <c r="K1" s="1967"/>
      <c r="L1" s="1967"/>
      <c r="M1" s="1967"/>
      <c r="N1" s="1967"/>
      <c r="O1" s="1967"/>
      <c r="P1" s="1967"/>
      <c r="Q1" s="1967"/>
      <c r="R1" s="1968"/>
    </row>
    <row r="2" spans="1:18" ht="24" customHeight="1">
      <c r="A2" s="432"/>
      <c r="D2" s="405"/>
      <c r="E2" s="405"/>
      <c r="F2" s="405"/>
      <c r="G2" s="405"/>
      <c r="H2" s="405"/>
      <c r="I2" s="405"/>
      <c r="J2" s="405"/>
      <c r="K2" s="405"/>
      <c r="L2" s="405"/>
      <c r="M2" s="1199"/>
      <c r="N2" s="1199"/>
      <c r="O2" s="1199"/>
      <c r="P2" s="1199"/>
      <c r="Q2" s="1969" t="s">
        <v>832</v>
      </c>
      <c r="R2" s="1970"/>
    </row>
    <row r="3" spans="1:18" s="428" customFormat="1" ht="41.25" customHeight="1">
      <c r="A3" s="1950" t="s">
        <v>686</v>
      </c>
      <c r="B3" s="97" t="s">
        <v>141</v>
      </c>
      <c r="C3" s="97" t="s">
        <v>865</v>
      </c>
      <c r="D3" s="431">
        <v>2010</v>
      </c>
      <c r="E3" s="430">
        <v>2011</v>
      </c>
      <c r="F3" s="430">
        <v>2012</v>
      </c>
      <c r="G3" s="430">
        <v>2013</v>
      </c>
      <c r="H3" s="430">
        <v>2014</v>
      </c>
      <c r="I3" s="430">
        <v>2015</v>
      </c>
      <c r="J3" s="430">
        <v>2016</v>
      </c>
      <c r="K3" s="430">
        <v>2017</v>
      </c>
      <c r="L3" s="430">
        <v>2018</v>
      </c>
      <c r="M3" s="430">
        <v>2019</v>
      </c>
      <c r="N3" s="430">
        <v>2020</v>
      </c>
      <c r="O3" s="430">
        <v>2021</v>
      </c>
      <c r="P3" s="430">
        <v>2022</v>
      </c>
      <c r="Q3" s="97" t="s">
        <v>49</v>
      </c>
      <c r="R3" s="429" t="s">
        <v>864</v>
      </c>
    </row>
    <row r="4" spans="1:18" s="405" customFormat="1" ht="21.75" customHeight="1">
      <c r="A4" s="1950"/>
      <c r="B4" s="1971" t="s">
        <v>863</v>
      </c>
      <c r="C4" s="1971"/>
      <c r="D4" s="1972"/>
      <c r="E4" s="1973"/>
      <c r="F4" s="1973"/>
      <c r="G4" s="1973"/>
      <c r="H4" s="1973"/>
      <c r="I4" s="1973"/>
      <c r="J4" s="1973"/>
      <c r="K4" s="1973"/>
      <c r="L4" s="1973"/>
      <c r="M4" s="1973"/>
      <c r="N4" s="1124"/>
      <c r="O4" s="1124"/>
      <c r="P4" s="1124"/>
      <c r="Q4" s="1971" t="s">
        <v>862</v>
      </c>
      <c r="R4" s="1974"/>
    </row>
    <row r="5" spans="1:18" ht="17.649999999999999" customHeight="1">
      <c r="A5" s="1955">
        <v>1</v>
      </c>
      <c r="B5" s="1958" t="s">
        <v>680</v>
      </c>
      <c r="C5" s="22" t="s">
        <v>818</v>
      </c>
      <c r="D5" s="422">
        <v>9257</v>
      </c>
      <c r="E5" s="419">
        <v>9297</v>
      </c>
      <c r="F5" s="419">
        <v>9567</v>
      </c>
      <c r="G5" s="419">
        <v>9604</v>
      </c>
      <c r="H5" s="419">
        <v>9729</v>
      </c>
      <c r="I5" s="419">
        <v>0</v>
      </c>
      <c r="J5" s="419">
        <v>0</v>
      </c>
      <c r="K5" s="419">
        <v>0</v>
      </c>
      <c r="L5" s="419">
        <v>0</v>
      </c>
      <c r="M5" s="419">
        <v>97.11999999999999</v>
      </c>
      <c r="N5" s="419">
        <v>97.11999999999999</v>
      </c>
      <c r="O5" s="419">
        <v>921</v>
      </c>
      <c r="P5" s="419">
        <v>920.96</v>
      </c>
      <c r="Q5" s="1957" t="s">
        <v>14</v>
      </c>
      <c r="R5" s="1200" t="s">
        <v>816</v>
      </c>
    </row>
    <row r="6" spans="1:18" ht="17.649999999999999" customHeight="1">
      <c r="A6" s="1955"/>
      <c r="B6" s="1958"/>
      <c r="C6" s="22" t="s">
        <v>815</v>
      </c>
      <c r="D6" s="422">
        <v>9730</v>
      </c>
      <c r="E6" s="419">
        <v>9728</v>
      </c>
      <c r="F6" s="419">
        <v>9554</v>
      </c>
      <c r="G6" s="419">
        <v>9554</v>
      </c>
      <c r="H6" s="419">
        <v>9670</v>
      </c>
      <c r="I6" s="419">
        <v>1149</v>
      </c>
      <c r="J6" s="419">
        <v>1149</v>
      </c>
      <c r="K6" s="419">
        <v>1149</v>
      </c>
      <c r="L6" s="419">
        <v>1149</v>
      </c>
      <c r="M6" s="419">
        <v>1078</v>
      </c>
      <c r="N6" s="419">
        <v>1078</v>
      </c>
      <c r="O6" s="419">
        <v>901</v>
      </c>
      <c r="P6" s="419">
        <v>901.07</v>
      </c>
      <c r="Q6" s="1957"/>
      <c r="R6" s="1200" t="s">
        <v>814</v>
      </c>
    </row>
    <row r="7" spans="1:18" ht="17.649999999999999" customHeight="1">
      <c r="A7" s="1955"/>
      <c r="B7" s="1958"/>
      <c r="C7" s="22" t="s">
        <v>813</v>
      </c>
      <c r="D7" s="422">
        <v>3029</v>
      </c>
      <c r="E7" s="419">
        <v>3029</v>
      </c>
      <c r="F7" s="419">
        <v>3034</v>
      </c>
      <c r="G7" s="419">
        <v>3049</v>
      </c>
      <c r="H7" s="419">
        <v>3068</v>
      </c>
      <c r="I7" s="419">
        <v>432</v>
      </c>
      <c r="J7" s="419">
        <v>432</v>
      </c>
      <c r="K7" s="419">
        <v>432</v>
      </c>
      <c r="L7" s="419">
        <v>432</v>
      </c>
      <c r="M7" s="419">
        <v>432</v>
      </c>
      <c r="N7" s="419">
        <v>432</v>
      </c>
      <c r="O7" s="419">
        <v>425</v>
      </c>
      <c r="P7" s="419">
        <v>425.19</v>
      </c>
      <c r="Q7" s="1957"/>
      <c r="R7" s="1200" t="s">
        <v>812</v>
      </c>
    </row>
    <row r="8" spans="1:18" s="415" customFormat="1" ht="17.649999999999999" customHeight="1">
      <c r="A8" s="1955"/>
      <c r="B8" s="1958"/>
      <c r="C8" s="60" t="s">
        <v>143</v>
      </c>
      <c r="D8" s="423">
        <v>22016</v>
      </c>
      <c r="E8" s="418">
        <v>22054</v>
      </c>
      <c r="F8" s="418">
        <v>22155</v>
      </c>
      <c r="G8" s="418">
        <f>SUM(G5:G7)</f>
        <v>22207</v>
      </c>
      <c r="H8" s="418">
        <v>22468</v>
      </c>
      <c r="I8" s="418">
        <f t="shared" ref="I8:P8" si="0">SUM(I5:I7)</f>
        <v>1581</v>
      </c>
      <c r="J8" s="418">
        <f t="shared" si="0"/>
        <v>1581</v>
      </c>
      <c r="K8" s="418">
        <f t="shared" si="0"/>
        <v>1581</v>
      </c>
      <c r="L8" s="418">
        <f t="shared" si="0"/>
        <v>1581</v>
      </c>
      <c r="M8" s="418">
        <f t="shared" si="0"/>
        <v>1607.12</v>
      </c>
      <c r="N8" s="418">
        <f t="shared" si="0"/>
        <v>1607.12</v>
      </c>
      <c r="O8" s="418">
        <f t="shared" si="0"/>
        <v>2247</v>
      </c>
      <c r="P8" s="418">
        <f t="shared" si="0"/>
        <v>2247.2200000000003</v>
      </c>
      <c r="Q8" s="1957"/>
      <c r="R8" s="1201" t="s">
        <v>0</v>
      </c>
    </row>
    <row r="9" spans="1:18" ht="17.649999999999999" customHeight="1">
      <c r="A9" s="1955">
        <v>2</v>
      </c>
      <c r="B9" s="1958" t="s">
        <v>215</v>
      </c>
      <c r="C9" s="22" t="s">
        <v>818</v>
      </c>
      <c r="D9" s="422">
        <v>0</v>
      </c>
      <c r="E9" s="419">
        <v>0</v>
      </c>
      <c r="F9" s="419">
        <v>0</v>
      </c>
      <c r="G9" s="419">
        <v>0</v>
      </c>
      <c r="H9" s="419">
        <v>0</v>
      </c>
      <c r="I9" s="419">
        <v>0</v>
      </c>
      <c r="J9" s="419">
        <v>0</v>
      </c>
      <c r="K9" s="419">
        <v>0</v>
      </c>
      <c r="L9" s="419">
        <v>0</v>
      </c>
      <c r="M9" s="419">
        <v>0</v>
      </c>
      <c r="N9" s="419">
        <v>0</v>
      </c>
      <c r="O9" s="419">
        <v>0</v>
      </c>
      <c r="P9" s="419">
        <v>0</v>
      </c>
      <c r="Q9" s="1957" t="s">
        <v>21</v>
      </c>
      <c r="R9" s="1200" t="s">
        <v>816</v>
      </c>
    </row>
    <row r="10" spans="1:18" ht="17.649999999999999" customHeight="1">
      <c r="A10" s="1955"/>
      <c r="B10" s="1958"/>
      <c r="C10" s="22" t="s">
        <v>815</v>
      </c>
      <c r="D10" s="422">
        <v>3</v>
      </c>
      <c r="E10" s="419">
        <v>3</v>
      </c>
      <c r="F10" s="419">
        <v>3</v>
      </c>
      <c r="G10" s="419">
        <v>3</v>
      </c>
      <c r="H10" s="419">
        <v>4</v>
      </c>
      <c r="I10" s="419">
        <v>4</v>
      </c>
      <c r="J10" s="419">
        <v>14</v>
      </c>
      <c r="K10" s="419">
        <v>14</v>
      </c>
      <c r="L10" s="419">
        <v>14</v>
      </c>
      <c r="M10" s="419">
        <v>14</v>
      </c>
      <c r="N10" s="419">
        <v>14</v>
      </c>
      <c r="O10" s="419">
        <v>14</v>
      </c>
      <c r="P10" s="419">
        <v>14</v>
      </c>
      <c r="Q10" s="1957"/>
      <c r="R10" s="1200" t="s">
        <v>814</v>
      </c>
    </row>
    <row r="11" spans="1:18" ht="17.649999999999999" customHeight="1">
      <c r="A11" s="1955"/>
      <c r="B11" s="1958"/>
      <c r="C11" s="22" t="s">
        <v>813</v>
      </c>
      <c r="D11" s="422">
        <v>0</v>
      </c>
      <c r="E11" s="419">
        <v>0</v>
      </c>
      <c r="F11" s="419">
        <v>0</v>
      </c>
      <c r="G11" s="419">
        <v>0</v>
      </c>
      <c r="H11" s="419">
        <v>0</v>
      </c>
      <c r="I11" s="419">
        <v>0</v>
      </c>
      <c r="J11" s="419">
        <v>0</v>
      </c>
      <c r="K11" s="419">
        <v>0</v>
      </c>
      <c r="L11" s="419">
        <v>0</v>
      </c>
      <c r="M11" s="419">
        <v>0</v>
      </c>
      <c r="N11" s="419">
        <v>0</v>
      </c>
      <c r="O11" s="419">
        <v>0</v>
      </c>
      <c r="P11" s="419">
        <v>0</v>
      </c>
      <c r="Q11" s="1957"/>
      <c r="R11" s="1200" t="s">
        <v>812</v>
      </c>
    </row>
    <row r="12" spans="1:18" s="415" customFormat="1" ht="17.649999999999999" customHeight="1">
      <c r="A12" s="1955"/>
      <c r="B12" s="1958"/>
      <c r="C12" s="60" t="s">
        <v>143</v>
      </c>
      <c r="D12" s="423">
        <v>3</v>
      </c>
      <c r="E12" s="418">
        <v>3</v>
      </c>
      <c r="F12" s="418">
        <v>3</v>
      </c>
      <c r="G12" s="418">
        <f t="shared" ref="G12:P12" si="1">SUM(G9:G11)</f>
        <v>3</v>
      </c>
      <c r="H12" s="418">
        <f t="shared" si="1"/>
        <v>4</v>
      </c>
      <c r="I12" s="418">
        <f t="shared" si="1"/>
        <v>4</v>
      </c>
      <c r="J12" s="418">
        <f t="shared" si="1"/>
        <v>14</v>
      </c>
      <c r="K12" s="418">
        <f t="shared" si="1"/>
        <v>14</v>
      </c>
      <c r="L12" s="418">
        <f t="shared" si="1"/>
        <v>14</v>
      </c>
      <c r="M12" s="418">
        <f t="shared" si="1"/>
        <v>14</v>
      </c>
      <c r="N12" s="418">
        <f t="shared" si="1"/>
        <v>14</v>
      </c>
      <c r="O12" s="418">
        <f t="shared" si="1"/>
        <v>14</v>
      </c>
      <c r="P12" s="418">
        <f t="shared" si="1"/>
        <v>14</v>
      </c>
      <c r="Q12" s="1957"/>
      <c r="R12" s="1201" t="s">
        <v>0</v>
      </c>
    </row>
    <row r="13" spans="1:18" ht="17.649999999999999" customHeight="1">
      <c r="A13" s="1955">
        <v>3</v>
      </c>
      <c r="B13" s="1958" t="s">
        <v>861</v>
      </c>
      <c r="C13" s="22" t="s">
        <v>818</v>
      </c>
      <c r="D13" s="422">
        <v>39633</v>
      </c>
      <c r="E13" s="419">
        <v>39761</v>
      </c>
      <c r="F13" s="419">
        <v>40163</v>
      </c>
      <c r="G13" s="419">
        <v>41155</v>
      </c>
      <c r="H13" s="419">
        <v>41377</v>
      </c>
      <c r="I13" s="419">
        <v>41463</v>
      </c>
      <c r="J13" s="419">
        <v>42323</v>
      </c>
      <c r="K13" s="419">
        <v>44341</v>
      </c>
      <c r="L13" s="419">
        <v>45563</v>
      </c>
      <c r="M13" s="419">
        <v>48032</v>
      </c>
      <c r="N13" s="419">
        <v>49469</v>
      </c>
      <c r="O13" s="419">
        <v>52046</v>
      </c>
      <c r="P13" s="419">
        <v>52046.11</v>
      </c>
      <c r="Q13" s="1957" t="s">
        <v>27</v>
      </c>
      <c r="R13" s="1200" t="s">
        <v>816</v>
      </c>
    </row>
    <row r="14" spans="1:18" ht="17.649999999999999" customHeight="1">
      <c r="A14" s="1955"/>
      <c r="B14" s="1958"/>
      <c r="C14" s="22" t="s">
        <v>815</v>
      </c>
      <c r="D14" s="422">
        <v>30992</v>
      </c>
      <c r="E14" s="419">
        <v>32592</v>
      </c>
      <c r="F14" s="419">
        <v>33609</v>
      </c>
      <c r="G14" s="419">
        <v>32986</v>
      </c>
      <c r="H14" s="419">
        <v>32780</v>
      </c>
      <c r="I14" s="419">
        <v>33026</v>
      </c>
      <c r="J14" s="419">
        <v>32301</v>
      </c>
      <c r="K14" s="419">
        <v>31876</v>
      </c>
      <c r="L14" s="419">
        <v>31439</v>
      </c>
      <c r="M14" s="419">
        <v>30400.129999999997</v>
      </c>
      <c r="N14" s="419">
        <v>30284</v>
      </c>
      <c r="O14" s="419">
        <v>28882</v>
      </c>
      <c r="P14" s="419">
        <v>28882.31</v>
      </c>
      <c r="Q14" s="1957"/>
      <c r="R14" s="1200" t="s">
        <v>814</v>
      </c>
    </row>
    <row r="15" spans="1:18" ht="17.649999999999999" customHeight="1">
      <c r="A15" s="1955"/>
      <c r="B15" s="1958"/>
      <c r="C15" s="22" t="s">
        <v>813</v>
      </c>
      <c r="D15" s="422">
        <v>6338</v>
      </c>
      <c r="E15" s="419">
        <v>6584</v>
      </c>
      <c r="F15" s="419">
        <v>6584</v>
      </c>
      <c r="G15" s="419">
        <v>6559</v>
      </c>
      <c r="H15" s="419">
        <v>6559</v>
      </c>
      <c r="I15" s="419">
        <v>6559</v>
      </c>
      <c r="J15" s="419">
        <v>6548</v>
      </c>
      <c r="K15" s="419">
        <v>6223</v>
      </c>
      <c r="L15" s="419">
        <v>6150</v>
      </c>
      <c r="M15" s="419">
        <v>6074</v>
      </c>
      <c r="N15" s="419">
        <v>5850</v>
      </c>
      <c r="O15" s="419">
        <v>5288</v>
      </c>
      <c r="P15" s="419">
        <v>5288.4</v>
      </c>
      <c r="Q15" s="1957"/>
      <c r="R15" s="1200" t="s">
        <v>812</v>
      </c>
    </row>
    <row r="16" spans="1:18" s="415" customFormat="1" ht="17.649999999999999" customHeight="1">
      <c r="A16" s="1955"/>
      <c r="B16" s="1958"/>
      <c r="C16" s="60" t="s">
        <v>143</v>
      </c>
      <c r="D16" s="423">
        <v>76964</v>
      </c>
      <c r="E16" s="418">
        <v>78937</v>
      </c>
      <c r="F16" s="418">
        <v>80356</v>
      </c>
      <c r="G16" s="418">
        <v>80701</v>
      </c>
      <c r="H16" s="418">
        <f>SUM(H13:H15)</f>
        <v>80716</v>
      </c>
      <c r="I16" s="418">
        <v>81049</v>
      </c>
      <c r="J16" s="418">
        <f t="shared" ref="J16:P16" si="2">SUM(J13:J15)</f>
        <v>81172</v>
      </c>
      <c r="K16" s="418">
        <f t="shared" si="2"/>
        <v>82440</v>
      </c>
      <c r="L16" s="418">
        <f t="shared" si="2"/>
        <v>83152</v>
      </c>
      <c r="M16" s="418">
        <f t="shared" si="2"/>
        <v>84506.13</v>
      </c>
      <c r="N16" s="418">
        <f t="shared" si="2"/>
        <v>85603</v>
      </c>
      <c r="O16" s="418">
        <f t="shared" si="2"/>
        <v>86216</v>
      </c>
      <c r="P16" s="418">
        <f t="shared" si="2"/>
        <v>86216.819999999992</v>
      </c>
      <c r="Q16" s="1957"/>
      <c r="R16" s="1201" t="s">
        <v>0</v>
      </c>
    </row>
    <row r="17" spans="1:18" ht="17.649999999999999" customHeight="1">
      <c r="A17" s="1955">
        <v>4</v>
      </c>
      <c r="B17" s="1958" t="s">
        <v>809</v>
      </c>
      <c r="C17" s="22" t="s">
        <v>818</v>
      </c>
      <c r="D17" s="422">
        <v>0</v>
      </c>
      <c r="E17" s="419">
        <v>0</v>
      </c>
      <c r="F17" s="419">
        <v>0</v>
      </c>
      <c r="G17" s="419">
        <v>0</v>
      </c>
      <c r="H17" s="419">
        <v>0</v>
      </c>
      <c r="I17" s="419">
        <v>0</v>
      </c>
      <c r="J17" s="419">
        <v>0</v>
      </c>
      <c r="K17" s="419">
        <v>0</v>
      </c>
      <c r="L17" s="419">
        <v>161</v>
      </c>
      <c r="M17" s="419">
        <v>309.52999999999997</v>
      </c>
      <c r="N17" s="419">
        <v>310</v>
      </c>
      <c r="O17" s="419">
        <v>310</v>
      </c>
      <c r="P17" s="419">
        <v>309.52999999999997</v>
      </c>
      <c r="Q17" s="1957" t="s">
        <v>22</v>
      </c>
      <c r="R17" s="1200" t="s">
        <v>816</v>
      </c>
    </row>
    <row r="18" spans="1:18" ht="17.649999999999999" customHeight="1">
      <c r="A18" s="1955"/>
      <c r="B18" s="1958"/>
      <c r="C18" s="22" t="s">
        <v>815</v>
      </c>
      <c r="D18" s="422">
        <v>0</v>
      </c>
      <c r="E18" s="419">
        <v>0</v>
      </c>
      <c r="F18" s="419">
        <v>0</v>
      </c>
      <c r="G18" s="419">
        <v>0</v>
      </c>
      <c r="H18" s="419">
        <v>0</v>
      </c>
      <c r="I18" s="419">
        <v>0</v>
      </c>
      <c r="J18" s="419">
        <v>0</v>
      </c>
      <c r="K18" s="419">
        <v>0</v>
      </c>
      <c r="L18" s="419">
        <v>813</v>
      </c>
      <c r="M18" s="419">
        <v>1513</v>
      </c>
      <c r="N18" s="419">
        <v>2431</v>
      </c>
      <c r="O18" s="419">
        <v>3143</v>
      </c>
      <c r="P18" s="419">
        <v>3143.24</v>
      </c>
      <c r="Q18" s="1957"/>
      <c r="R18" s="1200" t="s">
        <v>814</v>
      </c>
    </row>
    <row r="19" spans="1:18" ht="17.649999999999999" customHeight="1">
      <c r="A19" s="1955"/>
      <c r="B19" s="1958"/>
      <c r="C19" s="22" t="s">
        <v>813</v>
      </c>
      <c r="D19" s="422">
        <v>160</v>
      </c>
      <c r="E19" s="419">
        <v>160</v>
      </c>
      <c r="F19" s="419">
        <v>160</v>
      </c>
      <c r="G19" s="419">
        <v>160</v>
      </c>
      <c r="H19" s="419">
        <v>160</v>
      </c>
      <c r="I19" s="419">
        <v>160</v>
      </c>
      <c r="J19" s="419">
        <v>160</v>
      </c>
      <c r="K19" s="419">
        <v>1354</v>
      </c>
      <c r="L19" s="419">
        <v>392</v>
      </c>
      <c r="M19" s="419">
        <v>11</v>
      </c>
      <c r="N19" s="419">
        <v>11</v>
      </c>
      <c r="O19" s="419">
        <v>11</v>
      </c>
      <c r="P19" s="419">
        <v>11.3</v>
      </c>
      <c r="Q19" s="1957"/>
      <c r="R19" s="1200" t="s">
        <v>812</v>
      </c>
    </row>
    <row r="20" spans="1:18" s="415" customFormat="1" ht="17.649999999999999" customHeight="1">
      <c r="A20" s="1955"/>
      <c r="B20" s="1958"/>
      <c r="C20" s="60" t="s">
        <v>143</v>
      </c>
      <c r="D20" s="423">
        <v>160</v>
      </c>
      <c r="E20" s="418">
        <v>160</v>
      </c>
      <c r="F20" s="418">
        <v>160</v>
      </c>
      <c r="G20" s="418">
        <f>SUM(G17:G19)</f>
        <v>160</v>
      </c>
      <c r="H20" s="418">
        <f>SUM(H17:H19)</f>
        <v>160</v>
      </c>
      <c r="I20" s="418">
        <f>SUM(I17:I19)</f>
        <v>160</v>
      </c>
      <c r="J20" s="418">
        <f>SUM(J17:J19)</f>
        <v>160</v>
      </c>
      <c r="K20" s="418">
        <f>SUM(K17:K19)</f>
        <v>1354</v>
      </c>
      <c r="L20" s="418">
        <f>SUM(L17:L19)+1</f>
        <v>1367</v>
      </c>
      <c r="M20" s="418">
        <f>SUM(M17:M19)+1</f>
        <v>1834.53</v>
      </c>
      <c r="N20" s="418">
        <f>SUM(N17:N19)</f>
        <v>2752</v>
      </c>
      <c r="O20" s="418">
        <f>SUM(O17:O19)</f>
        <v>3464</v>
      </c>
      <c r="P20" s="418">
        <f>SUM(P17:P19)</f>
        <v>3464.0699999999997</v>
      </c>
      <c r="Q20" s="1957"/>
      <c r="R20" s="1201" t="s">
        <v>0</v>
      </c>
    </row>
    <row r="21" spans="1:18" ht="17.649999999999999" customHeight="1">
      <c r="A21" s="1955">
        <v>5</v>
      </c>
      <c r="B21" s="1958" t="s">
        <v>860</v>
      </c>
      <c r="C21" s="22" t="s">
        <v>818</v>
      </c>
      <c r="D21" s="422">
        <v>8505</v>
      </c>
      <c r="E21" s="419">
        <v>8871</v>
      </c>
      <c r="F21" s="419">
        <v>9309</v>
      </c>
      <c r="G21" s="419">
        <v>9818</v>
      </c>
      <c r="H21" s="419">
        <v>10411</v>
      </c>
      <c r="I21" s="419">
        <v>10411</v>
      </c>
      <c r="J21" s="419">
        <v>10918</v>
      </c>
      <c r="K21" s="419">
        <v>11269</v>
      </c>
      <c r="L21" s="419">
        <v>11958</v>
      </c>
      <c r="M21" s="419">
        <v>12182</v>
      </c>
      <c r="N21" s="419">
        <v>12597</v>
      </c>
      <c r="O21" s="419">
        <v>13479</v>
      </c>
      <c r="P21" s="419">
        <v>13479.17</v>
      </c>
      <c r="Q21" s="1957" t="s">
        <v>859</v>
      </c>
      <c r="R21" s="1200" t="s">
        <v>816</v>
      </c>
    </row>
    <row r="22" spans="1:18" ht="17.649999999999999" customHeight="1">
      <c r="A22" s="1955"/>
      <c r="B22" s="1958"/>
      <c r="C22" s="22" t="s">
        <v>815</v>
      </c>
      <c r="D22" s="422">
        <v>11267</v>
      </c>
      <c r="E22" s="419">
        <v>12192</v>
      </c>
      <c r="F22" s="419">
        <v>12291</v>
      </c>
      <c r="G22" s="419">
        <v>12355</v>
      </c>
      <c r="H22" s="419">
        <v>12382</v>
      </c>
      <c r="I22" s="419">
        <v>12784</v>
      </c>
      <c r="J22" s="419">
        <v>12696</v>
      </c>
      <c r="K22" s="419">
        <v>12760</v>
      </c>
      <c r="L22" s="419">
        <v>12154</v>
      </c>
      <c r="M22" s="419">
        <v>12736</v>
      </c>
      <c r="N22" s="419">
        <v>12888</v>
      </c>
      <c r="O22" s="419">
        <v>13060</v>
      </c>
      <c r="P22" s="419">
        <v>13059.88</v>
      </c>
      <c r="Q22" s="1957"/>
      <c r="R22" s="1200" t="s">
        <v>814</v>
      </c>
    </row>
    <row r="23" spans="1:18" ht="17.649999999999999" customHeight="1">
      <c r="A23" s="1955"/>
      <c r="B23" s="1958"/>
      <c r="C23" s="22" t="s">
        <v>813</v>
      </c>
      <c r="D23" s="422">
        <v>2216</v>
      </c>
      <c r="E23" s="419">
        <v>2063</v>
      </c>
      <c r="F23" s="419">
        <v>2777</v>
      </c>
      <c r="G23" s="419">
        <v>2889</v>
      </c>
      <c r="H23" s="419">
        <v>2879</v>
      </c>
      <c r="I23" s="419">
        <v>3341</v>
      </c>
      <c r="J23" s="419">
        <v>3293</v>
      </c>
      <c r="K23" s="419">
        <v>3645</v>
      </c>
      <c r="L23" s="419">
        <v>3875</v>
      </c>
      <c r="M23" s="419">
        <v>3875</v>
      </c>
      <c r="N23" s="419">
        <v>3799</v>
      </c>
      <c r="O23" s="419">
        <v>3678</v>
      </c>
      <c r="P23" s="419">
        <v>3677.77</v>
      </c>
      <c r="Q23" s="1957"/>
      <c r="R23" s="1200" t="s">
        <v>812</v>
      </c>
    </row>
    <row r="24" spans="1:18" s="415" customFormat="1" ht="17.649999999999999" customHeight="1" thickBot="1">
      <c r="A24" s="1959"/>
      <c r="B24" s="1961"/>
      <c r="C24" s="1616" t="s">
        <v>143</v>
      </c>
      <c r="D24" s="427">
        <v>21988</v>
      </c>
      <c r="E24" s="426">
        <v>23126</v>
      </c>
      <c r="F24" s="426">
        <v>24377</v>
      </c>
      <c r="G24" s="426">
        <v>25061</v>
      </c>
      <c r="H24" s="426">
        <v>25673</v>
      </c>
      <c r="I24" s="426">
        <f>SUM(I21:I23)</f>
        <v>26536</v>
      </c>
      <c r="J24" s="426">
        <f>SUM(J21:J23)</f>
        <v>26907</v>
      </c>
      <c r="K24" s="426">
        <v>27673</v>
      </c>
      <c r="L24" s="426">
        <f>SUM(L21:L23)</f>
        <v>27987</v>
      </c>
      <c r="M24" s="426">
        <f>SUM(M21:M23)</f>
        <v>28793</v>
      </c>
      <c r="N24" s="426">
        <f>SUM(N21:N23)</f>
        <v>29284</v>
      </c>
      <c r="O24" s="426">
        <f>SUM(O21:O23)</f>
        <v>30217</v>
      </c>
      <c r="P24" s="426">
        <f>SUM(P21:P23)</f>
        <v>30216.82</v>
      </c>
      <c r="Q24" s="1960"/>
      <c r="R24" s="1202" t="s">
        <v>0</v>
      </c>
    </row>
    <row r="25" spans="1:18" ht="17.649999999999999" customHeight="1" thickTop="1">
      <c r="A25" s="1954">
        <v>6</v>
      </c>
      <c r="B25" s="1956" t="s">
        <v>858</v>
      </c>
      <c r="C25" s="1546" t="s">
        <v>818</v>
      </c>
      <c r="D25" s="425">
        <v>12441</v>
      </c>
      <c r="E25" s="424">
        <v>12879</v>
      </c>
      <c r="F25" s="424">
        <v>13988</v>
      </c>
      <c r="G25" s="424">
        <v>14779</v>
      </c>
      <c r="H25" s="424">
        <v>16052</v>
      </c>
      <c r="I25" s="424">
        <v>18237</v>
      </c>
      <c r="J25" s="424">
        <v>19136</v>
      </c>
      <c r="K25" s="424">
        <v>19997</v>
      </c>
      <c r="L25" s="424">
        <v>20428</v>
      </c>
      <c r="M25" s="424">
        <v>21446</v>
      </c>
      <c r="N25" s="424">
        <v>24985</v>
      </c>
      <c r="O25" s="424">
        <v>31562</v>
      </c>
      <c r="P25" s="424">
        <v>31561.55</v>
      </c>
      <c r="Q25" s="1962" t="s">
        <v>857</v>
      </c>
      <c r="R25" s="1203" t="s">
        <v>816</v>
      </c>
    </row>
    <row r="26" spans="1:18" ht="17.649999999999999" customHeight="1">
      <c r="A26" s="1955"/>
      <c r="B26" s="1958"/>
      <c r="C26" s="22" t="s">
        <v>815</v>
      </c>
      <c r="D26" s="422">
        <v>30230</v>
      </c>
      <c r="E26" s="419">
        <v>32390</v>
      </c>
      <c r="F26" s="419">
        <v>33448</v>
      </c>
      <c r="G26" s="419">
        <v>34107</v>
      </c>
      <c r="H26" s="419">
        <v>33253</v>
      </c>
      <c r="I26" s="419">
        <v>34390</v>
      </c>
      <c r="J26" s="419">
        <v>34614</v>
      </c>
      <c r="K26" s="419">
        <v>34462</v>
      </c>
      <c r="L26" s="419">
        <v>34576</v>
      </c>
      <c r="M26" s="419">
        <v>36260</v>
      </c>
      <c r="N26" s="419">
        <v>42368</v>
      </c>
      <c r="O26" s="419">
        <v>40425</v>
      </c>
      <c r="P26" s="419">
        <v>40425</v>
      </c>
      <c r="Q26" s="1957"/>
      <c r="R26" s="1200" t="s">
        <v>814</v>
      </c>
    </row>
    <row r="27" spans="1:18" ht="17.649999999999999" customHeight="1">
      <c r="A27" s="1955"/>
      <c r="B27" s="1958"/>
      <c r="C27" s="22" t="s">
        <v>813</v>
      </c>
      <c r="D27" s="422">
        <v>4011</v>
      </c>
      <c r="E27" s="419">
        <v>4011</v>
      </c>
      <c r="F27" s="419">
        <v>3410</v>
      </c>
      <c r="G27" s="419">
        <v>3283</v>
      </c>
      <c r="H27" s="419">
        <v>3228</v>
      </c>
      <c r="I27" s="419">
        <v>2285</v>
      </c>
      <c r="J27" s="419">
        <v>2287</v>
      </c>
      <c r="K27" s="419">
        <v>2202</v>
      </c>
      <c r="L27" s="419">
        <v>2202</v>
      </c>
      <c r="M27" s="419">
        <v>2202</v>
      </c>
      <c r="N27" s="419">
        <v>2079</v>
      </c>
      <c r="O27" s="419">
        <v>1437</v>
      </c>
      <c r="P27" s="419">
        <v>1436.99</v>
      </c>
      <c r="Q27" s="1957"/>
      <c r="R27" s="1200" t="s">
        <v>812</v>
      </c>
    </row>
    <row r="28" spans="1:18" s="415" customFormat="1" ht="17.649999999999999" customHeight="1">
      <c r="A28" s="1955"/>
      <c r="B28" s="1958"/>
      <c r="C28" s="60" t="s">
        <v>143</v>
      </c>
      <c r="D28" s="423">
        <v>46682</v>
      </c>
      <c r="E28" s="418">
        <v>49280</v>
      </c>
      <c r="F28" s="418">
        <v>50846</v>
      </c>
      <c r="G28" s="418">
        <f>SUM(G25:G27)</f>
        <v>52169</v>
      </c>
      <c r="H28" s="418">
        <f>SUM(H25:H27)</f>
        <v>52533</v>
      </c>
      <c r="I28" s="418">
        <f>SUM(I25:I27)</f>
        <v>54912</v>
      </c>
      <c r="J28" s="418">
        <v>56036</v>
      </c>
      <c r="K28" s="418">
        <f t="shared" ref="K28:P28" si="3">SUM(K25:K27)</f>
        <v>56661</v>
      </c>
      <c r="L28" s="418">
        <f t="shared" si="3"/>
        <v>57206</v>
      </c>
      <c r="M28" s="418">
        <f t="shared" si="3"/>
        <v>59908</v>
      </c>
      <c r="N28" s="418">
        <f t="shared" si="3"/>
        <v>69432</v>
      </c>
      <c r="O28" s="418">
        <f t="shared" si="3"/>
        <v>73424</v>
      </c>
      <c r="P28" s="418">
        <f t="shared" si="3"/>
        <v>73423.540000000008</v>
      </c>
      <c r="Q28" s="1957"/>
      <c r="R28" s="1201" t="s">
        <v>0</v>
      </c>
    </row>
    <row r="29" spans="1:18" ht="17.649999999999999" customHeight="1">
      <c r="A29" s="1955">
        <v>7</v>
      </c>
      <c r="B29" s="1958" t="s">
        <v>138</v>
      </c>
      <c r="C29" s="22" t="s">
        <v>818</v>
      </c>
      <c r="D29" s="422">
        <v>5360</v>
      </c>
      <c r="E29" s="419">
        <v>5490</v>
      </c>
      <c r="F29" s="419">
        <v>5667</v>
      </c>
      <c r="G29" s="419">
        <v>5667</v>
      </c>
      <c r="H29" s="419">
        <v>5667</v>
      </c>
      <c r="I29" s="419">
        <v>5953</v>
      </c>
      <c r="J29" s="419">
        <v>6208</v>
      </c>
      <c r="K29" s="419">
        <v>7038</v>
      </c>
      <c r="L29" s="419">
        <v>7178</v>
      </c>
      <c r="M29" s="419">
        <v>7573</v>
      </c>
      <c r="N29" s="419">
        <v>7624</v>
      </c>
      <c r="O29" s="419">
        <v>7770</v>
      </c>
      <c r="P29" s="419">
        <v>7769.53</v>
      </c>
      <c r="Q29" s="1957" t="s">
        <v>29</v>
      </c>
      <c r="R29" s="1200" t="s">
        <v>816</v>
      </c>
    </row>
    <row r="30" spans="1:18" ht="17.649999999999999" customHeight="1">
      <c r="A30" s="1955"/>
      <c r="B30" s="1958"/>
      <c r="C30" s="22" t="s">
        <v>815</v>
      </c>
      <c r="D30" s="422">
        <v>2984</v>
      </c>
      <c r="E30" s="419">
        <v>3094</v>
      </c>
      <c r="F30" s="419">
        <v>3104</v>
      </c>
      <c r="G30" s="419">
        <v>3186</v>
      </c>
      <c r="H30" s="419">
        <v>3186</v>
      </c>
      <c r="I30" s="419">
        <v>3190</v>
      </c>
      <c r="J30" s="419">
        <v>3151</v>
      </c>
      <c r="K30" s="419">
        <v>3158</v>
      </c>
      <c r="L30" s="419">
        <v>3074</v>
      </c>
      <c r="M30" s="419">
        <v>3257</v>
      </c>
      <c r="N30" s="419">
        <v>3257</v>
      </c>
      <c r="O30" s="419">
        <v>3320</v>
      </c>
      <c r="P30" s="419">
        <v>3319.52</v>
      </c>
      <c r="Q30" s="1957"/>
      <c r="R30" s="1200" t="s">
        <v>814</v>
      </c>
    </row>
    <row r="31" spans="1:18" ht="17.649999999999999" customHeight="1">
      <c r="A31" s="1955"/>
      <c r="B31" s="1958"/>
      <c r="C31" s="22" t="s">
        <v>813</v>
      </c>
      <c r="D31" s="422">
        <v>1965</v>
      </c>
      <c r="E31" s="419">
        <v>1950</v>
      </c>
      <c r="F31" s="419">
        <v>2110</v>
      </c>
      <c r="G31" s="419">
        <v>2110</v>
      </c>
      <c r="H31" s="419">
        <v>2110</v>
      </c>
      <c r="I31" s="419">
        <v>2110</v>
      </c>
      <c r="J31" s="419">
        <v>2077</v>
      </c>
      <c r="K31" s="419">
        <v>2063</v>
      </c>
      <c r="L31" s="419">
        <v>2048</v>
      </c>
      <c r="M31" s="419">
        <v>1847</v>
      </c>
      <c r="N31" s="419">
        <v>1847</v>
      </c>
      <c r="O31" s="419">
        <v>1847</v>
      </c>
      <c r="P31" s="419">
        <v>1846.59</v>
      </c>
      <c r="Q31" s="1957"/>
      <c r="R31" s="1200" t="s">
        <v>812</v>
      </c>
    </row>
    <row r="32" spans="1:18" s="415" customFormat="1" ht="17.649999999999999" customHeight="1">
      <c r="A32" s="1955"/>
      <c r="B32" s="1958"/>
      <c r="C32" s="60" t="s">
        <v>143</v>
      </c>
      <c r="D32" s="423">
        <v>10308</v>
      </c>
      <c r="E32" s="418">
        <v>10534</v>
      </c>
      <c r="F32" s="418">
        <v>10882</v>
      </c>
      <c r="G32" s="418">
        <v>10964</v>
      </c>
      <c r="H32" s="418">
        <v>10964</v>
      </c>
      <c r="I32" s="418">
        <f>SUM(I29:I31)</f>
        <v>11253</v>
      </c>
      <c r="J32" s="418">
        <f>SUM(J29:J31)</f>
        <v>11436</v>
      </c>
      <c r="K32" s="418">
        <f>SUM(K29:K31)</f>
        <v>12259</v>
      </c>
      <c r="L32" s="418">
        <f>SUM(L29:L31)-1</f>
        <v>12299</v>
      </c>
      <c r="M32" s="418">
        <f>SUM(M29:M31)-1</f>
        <v>12676</v>
      </c>
      <c r="N32" s="418">
        <f>SUM(N29:N31)</f>
        <v>12728</v>
      </c>
      <c r="O32" s="418">
        <f>SUM(O29:O31)</f>
        <v>12937</v>
      </c>
      <c r="P32" s="418">
        <f>SUM(P29:P31)</f>
        <v>12935.64</v>
      </c>
      <c r="Q32" s="1957"/>
      <c r="R32" s="1201" t="s">
        <v>0</v>
      </c>
    </row>
    <row r="33" spans="1:18" ht="17.45" customHeight="1">
      <c r="A33" s="1955">
        <v>8</v>
      </c>
      <c r="B33" s="1958" t="s">
        <v>856</v>
      </c>
      <c r="C33" s="22" t="s">
        <v>818</v>
      </c>
      <c r="D33" s="422">
        <v>21507</v>
      </c>
      <c r="E33" s="419">
        <v>24492</v>
      </c>
      <c r="F33" s="419">
        <v>25548</v>
      </c>
      <c r="G33" s="419">
        <v>27284</v>
      </c>
      <c r="H33" s="419">
        <v>27791</v>
      </c>
      <c r="I33" s="419">
        <v>30747</v>
      </c>
      <c r="J33" s="419">
        <v>34295</v>
      </c>
      <c r="K33" s="419">
        <v>34810</v>
      </c>
      <c r="L33" s="419">
        <v>37391</v>
      </c>
      <c r="M33" s="419">
        <v>39654</v>
      </c>
      <c r="N33" s="419">
        <v>40872</v>
      </c>
      <c r="O33" s="419">
        <v>43326</v>
      </c>
      <c r="P33" s="419">
        <v>43325.58</v>
      </c>
      <c r="Q33" s="1957" t="s">
        <v>9</v>
      </c>
      <c r="R33" s="1200" t="s">
        <v>816</v>
      </c>
    </row>
    <row r="34" spans="1:18" ht="17.45" customHeight="1">
      <c r="A34" s="1955"/>
      <c r="B34" s="1958"/>
      <c r="C34" s="22" t="s">
        <v>815</v>
      </c>
      <c r="D34" s="422">
        <v>32074</v>
      </c>
      <c r="E34" s="419">
        <v>33987</v>
      </c>
      <c r="F34" s="419">
        <v>36466</v>
      </c>
      <c r="G34" s="419">
        <v>37110</v>
      </c>
      <c r="H34" s="419">
        <v>37873</v>
      </c>
      <c r="I34" s="419">
        <v>36545</v>
      </c>
      <c r="J34" s="419">
        <v>33284</v>
      </c>
      <c r="K34" s="419">
        <v>34060</v>
      </c>
      <c r="L34" s="419">
        <v>34165</v>
      </c>
      <c r="M34" s="419">
        <v>33473</v>
      </c>
      <c r="N34" s="419">
        <v>36067</v>
      </c>
      <c r="O34" s="419">
        <v>35222</v>
      </c>
      <c r="P34" s="419">
        <v>35222.11</v>
      </c>
      <c r="Q34" s="1957"/>
      <c r="R34" s="1200" t="s">
        <v>814</v>
      </c>
    </row>
    <row r="35" spans="1:18" ht="17.45" customHeight="1">
      <c r="A35" s="1955"/>
      <c r="B35" s="1958"/>
      <c r="C35" s="22" t="s">
        <v>813</v>
      </c>
      <c r="D35" s="422">
        <v>12726</v>
      </c>
      <c r="E35" s="419">
        <v>10680</v>
      </c>
      <c r="F35" s="419">
        <v>9434</v>
      </c>
      <c r="G35" s="419">
        <v>9316</v>
      </c>
      <c r="H35" s="419">
        <v>9408</v>
      </c>
      <c r="I35" s="419">
        <v>8507</v>
      </c>
      <c r="J35" s="419">
        <v>8318</v>
      </c>
      <c r="K35" s="419">
        <v>8415</v>
      </c>
      <c r="L35" s="419">
        <v>7739</v>
      </c>
      <c r="M35" s="419">
        <v>7713</v>
      </c>
      <c r="N35" s="419">
        <v>7713</v>
      </c>
      <c r="O35" s="419">
        <v>6330</v>
      </c>
      <c r="P35" s="419">
        <v>6330.36</v>
      </c>
      <c r="Q35" s="1957"/>
      <c r="R35" s="1200" t="s">
        <v>812</v>
      </c>
    </row>
    <row r="36" spans="1:18" s="415" customFormat="1" ht="17.45" customHeight="1">
      <c r="A36" s="1955"/>
      <c r="B36" s="1958"/>
      <c r="C36" s="60" t="s">
        <v>143</v>
      </c>
      <c r="D36" s="423">
        <v>66307</v>
      </c>
      <c r="E36" s="418">
        <v>69159</v>
      </c>
      <c r="F36" s="418">
        <v>71447</v>
      </c>
      <c r="G36" s="418">
        <f>SUM(G33:G35)</f>
        <v>73710</v>
      </c>
      <c r="H36" s="418">
        <v>75073</v>
      </c>
      <c r="I36" s="418">
        <f>SUM(I33:I35)</f>
        <v>75799</v>
      </c>
      <c r="J36" s="418">
        <v>75896</v>
      </c>
      <c r="K36" s="418">
        <f t="shared" ref="K36:P36" si="4">SUM(K33:K35)</f>
        <v>77285</v>
      </c>
      <c r="L36" s="418">
        <f t="shared" si="4"/>
        <v>79295</v>
      </c>
      <c r="M36" s="418">
        <f t="shared" si="4"/>
        <v>80840</v>
      </c>
      <c r="N36" s="418">
        <f t="shared" si="4"/>
        <v>84652</v>
      </c>
      <c r="O36" s="418">
        <f t="shared" si="4"/>
        <v>84878</v>
      </c>
      <c r="P36" s="418">
        <f t="shared" si="4"/>
        <v>84878.05</v>
      </c>
      <c r="Q36" s="1957"/>
      <c r="R36" s="1201" t="s">
        <v>0</v>
      </c>
    </row>
    <row r="37" spans="1:18" ht="17.45" customHeight="1">
      <c r="A37" s="1955">
        <v>9</v>
      </c>
      <c r="B37" s="1958" t="s">
        <v>855</v>
      </c>
      <c r="C37" s="22" t="s">
        <v>818</v>
      </c>
      <c r="D37" s="422">
        <v>0</v>
      </c>
      <c r="E37" s="419">
        <v>0</v>
      </c>
      <c r="F37" s="419">
        <v>0</v>
      </c>
      <c r="G37" s="419">
        <v>0</v>
      </c>
      <c r="H37" s="419">
        <v>0</v>
      </c>
      <c r="I37" s="419">
        <v>0</v>
      </c>
      <c r="J37" s="419">
        <v>0</v>
      </c>
      <c r="K37" s="419">
        <v>0</v>
      </c>
      <c r="L37" s="419">
        <v>0</v>
      </c>
      <c r="M37" s="419">
        <v>0</v>
      </c>
      <c r="N37" s="419">
        <v>0</v>
      </c>
      <c r="O37" s="419">
        <v>0</v>
      </c>
      <c r="P37" s="419">
        <v>0</v>
      </c>
      <c r="Q37" s="1957" t="s">
        <v>11</v>
      </c>
      <c r="R37" s="1200" t="s">
        <v>816</v>
      </c>
    </row>
    <row r="38" spans="1:18" ht="17.45" customHeight="1">
      <c r="A38" s="1955"/>
      <c r="B38" s="1958"/>
      <c r="C38" s="22" t="s">
        <v>815</v>
      </c>
      <c r="D38" s="422">
        <v>58</v>
      </c>
      <c r="E38" s="419">
        <v>58</v>
      </c>
      <c r="F38" s="419">
        <v>58</v>
      </c>
      <c r="G38" s="419">
        <v>58</v>
      </c>
      <c r="H38" s="419">
        <v>58</v>
      </c>
      <c r="I38" s="419">
        <v>58</v>
      </c>
      <c r="J38" s="419">
        <v>58</v>
      </c>
      <c r="K38" s="419">
        <v>58</v>
      </c>
      <c r="L38" s="419">
        <v>58</v>
      </c>
      <c r="M38" s="419">
        <v>58</v>
      </c>
      <c r="N38" s="419">
        <v>58</v>
      </c>
      <c r="O38" s="419">
        <v>58</v>
      </c>
      <c r="P38" s="419">
        <v>58.25</v>
      </c>
      <c r="Q38" s="1957"/>
      <c r="R38" s="1200" t="s">
        <v>814</v>
      </c>
    </row>
    <row r="39" spans="1:18" ht="17.45" customHeight="1">
      <c r="A39" s="1955"/>
      <c r="B39" s="1958"/>
      <c r="C39" s="22" t="s">
        <v>813</v>
      </c>
      <c r="D39" s="422">
        <v>43</v>
      </c>
      <c r="E39" s="419">
        <v>43</v>
      </c>
      <c r="F39" s="419">
        <v>43</v>
      </c>
      <c r="G39" s="419">
        <v>43</v>
      </c>
      <c r="H39" s="419">
        <v>43</v>
      </c>
      <c r="I39" s="419">
        <v>43</v>
      </c>
      <c r="J39" s="419">
        <v>43</v>
      </c>
      <c r="K39" s="419">
        <v>43</v>
      </c>
      <c r="L39" s="419">
        <v>43</v>
      </c>
      <c r="M39" s="419">
        <v>43</v>
      </c>
      <c r="N39" s="419">
        <v>43</v>
      </c>
      <c r="O39" s="419">
        <v>43</v>
      </c>
      <c r="P39" s="419">
        <v>42.98</v>
      </c>
      <c r="Q39" s="1957"/>
      <c r="R39" s="1200" t="s">
        <v>812</v>
      </c>
    </row>
    <row r="40" spans="1:18" s="415" customFormat="1" ht="17.45" customHeight="1">
      <c r="A40" s="1955"/>
      <c r="B40" s="1958"/>
      <c r="C40" s="60" t="s">
        <v>143</v>
      </c>
      <c r="D40" s="423">
        <v>101</v>
      </c>
      <c r="E40" s="418">
        <v>101</v>
      </c>
      <c r="F40" s="418">
        <v>101</v>
      </c>
      <c r="G40" s="418">
        <v>101</v>
      </c>
      <c r="H40" s="418">
        <v>101</v>
      </c>
      <c r="I40" s="418">
        <v>101</v>
      </c>
      <c r="J40" s="418">
        <v>101</v>
      </c>
      <c r="K40" s="418">
        <v>101</v>
      </c>
      <c r="L40" s="418">
        <f>SUM(L37:L39)</f>
        <v>101</v>
      </c>
      <c r="M40" s="418">
        <f>SUM(M37:M39)</f>
        <v>101</v>
      </c>
      <c r="N40" s="418">
        <f>SUM(N37:N39)</f>
        <v>101</v>
      </c>
      <c r="O40" s="418">
        <f>SUM(O37:O39)</f>
        <v>101</v>
      </c>
      <c r="P40" s="418">
        <f>SUM(P37:P39)</f>
        <v>101.22999999999999</v>
      </c>
      <c r="Q40" s="1957"/>
      <c r="R40" s="1201" t="s">
        <v>0</v>
      </c>
    </row>
    <row r="41" spans="1:18" ht="17.45" customHeight="1">
      <c r="A41" s="1955">
        <v>10</v>
      </c>
      <c r="B41" s="1958" t="s">
        <v>854</v>
      </c>
      <c r="C41" s="22" t="s">
        <v>818</v>
      </c>
      <c r="D41" s="422">
        <v>866</v>
      </c>
      <c r="E41" s="419">
        <v>866</v>
      </c>
      <c r="F41" s="419">
        <v>884</v>
      </c>
      <c r="G41" s="419">
        <v>884</v>
      </c>
      <c r="H41" s="419">
        <v>884</v>
      </c>
      <c r="I41" s="419">
        <v>884</v>
      </c>
      <c r="J41" s="419">
        <v>884</v>
      </c>
      <c r="K41" s="419">
        <v>884</v>
      </c>
      <c r="L41" s="419">
        <v>884</v>
      </c>
      <c r="M41" s="419">
        <v>884</v>
      </c>
      <c r="N41" s="419">
        <v>884</v>
      </c>
      <c r="O41" s="419">
        <v>884</v>
      </c>
      <c r="P41" s="419">
        <v>884.04</v>
      </c>
      <c r="Q41" s="1957" t="s">
        <v>853</v>
      </c>
      <c r="R41" s="1200" t="s">
        <v>816</v>
      </c>
    </row>
    <row r="42" spans="1:18" ht="17.45" customHeight="1">
      <c r="A42" s="1955"/>
      <c r="B42" s="1958"/>
      <c r="C42" s="22" t="s">
        <v>815</v>
      </c>
      <c r="D42" s="422">
        <v>196</v>
      </c>
      <c r="E42" s="419">
        <v>196</v>
      </c>
      <c r="F42" s="419">
        <v>178</v>
      </c>
      <c r="G42" s="419">
        <v>178</v>
      </c>
      <c r="H42" s="419">
        <v>178</v>
      </c>
      <c r="I42" s="419">
        <v>178</v>
      </c>
      <c r="J42" s="419">
        <v>178</v>
      </c>
      <c r="K42" s="419">
        <v>178</v>
      </c>
      <c r="L42" s="419">
        <v>178</v>
      </c>
      <c r="M42" s="419">
        <v>178</v>
      </c>
      <c r="N42" s="419">
        <v>178</v>
      </c>
      <c r="O42" s="419">
        <v>178</v>
      </c>
      <c r="P42" s="419">
        <v>177.76</v>
      </c>
      <c r="Q42" s="1957"/>
      <c r="R42" s="1200" t="s">
        <v>814</v>
      </c>
    </row>
    <row r="43" spans="1:18" ht="17.45" customHeight="1">
      <c r="A43" s="1955"/>
      <c r="B43" s="1958"/>
      <c r="C43" s="22" t="s">
        <v>813</v>
      </c>
      <c r="D43" s="422">
        <v>0</v>
      </c>
      <c r="E43" s="419">
        <v>0</v>
      </c>
      <c r="F43" s="419">
        <v>0</v>
      </c>
      <c r="G43" s="419">
        <v>0</v>
      </c>
      <c r="H43" s="419">
        <v>0</v>
      </c>
      <c r="I43" s="419">
        <v>0</v>
      </c>
      <c r="J43" s="419">
        <v>0</v>
      </c>
      <c r="K43" s="419">
        <v>0</v>
      </c>
      <c r="L43" s="419">
        <v>0</v>
      </c>
      <c r="M43" s="419">
        <v>0</v>
      </c>
      <c r="N43" s="419"/>
      <c r="O43" s="419">
        <v>0</v>
      </c>
      <c r="P43" s="419">
        <v>0</v>
      </c>
      <c r="Q43" s="1957"/>
      <c r="R43" s="1200" t="s">
        <v>812</v>
      </c>
    </row>
    <row r="44" spans="1:18" s="415" customFormat="1" ht="17.45" customHeight="1" thickBot="1">
      <c r="A44" s="1959"/>
      <c r="B44" s="1961"/>
      <c r="C44" s="1616" t="s">
        <v>143</v>
      </c>
      <c r="D44" s="427">
        <v>1062</v>
      </c>
      <c r="E44" s="426">
        <v>1062</v>
      </c>
      <c r="F44" s="426">
        <v>1062</v>
      </c>
      <c r="G44" s="426">
        <v>1062</v>
      </c>
      <c r="H44" s="426">
        <v>1062</v>
      </c>
      <c r="I44" s="426">
        <v>1062</v>
      </c>
      <c r="J44" s="426">
        <v>1062</v>
      </c>
      <c r="K44" s="426">
        <v>1062</v>
      </c>
      <c r="L44" s="426">
        <f>SUM(L41:L43)</f>
        <v>1062</v>
      </c>
      <c r="M44" s="426">
        <f>SUM(M41:M43)</f>
        <v>1062</v>
      </c>
      <c r="N44" s="426">
        <f>SUM(N41:N43)</f>
        <v>1062</v>
      </c>
      <c r="O44" s="426">
        <f>SUM(O41:O43)</f>
        <v>1062</v>
      </c>
      <c r="P44" s="426">
        <f>SUM(P41:P43)</f>
        <v>1061.8</v>
      </c>
      <c r="Q44" s="1960"/>
      <c r="R44" s="1202" t="s">
        <v>0</v>
      </c>
    </row>
    <row r="45" spans="1:18" ht="17.45" customHeight="1" thickTop="1">
      <c r="A45" s="1954">
        <v>11</v>
      </c>
      <c r="B45" s="1956" t="s">
        <v>852</v>
      </c>
      <c r="C45" s="1546" t="s">
        <v>818</v>
      </c>
      <c r="D45" s="425">
        <v>11753</v>
      </c>
      <c r="E45" s="424">
        <v>11753</v>
      </c>
      <c r="F45" s="424">
        <v>12425</v>
      </c>
      <c r="G45" s="424">
        <v>13396</v>
      </c>
      <c r="H45" s="424">
        <v>13403</v>
      </c>
      <c r="I45" s="424">
        <v>13518</v>
      </c>
      <c r="J45" s="424">
        <v>13602</v>
      </c>
      <c r="K45" s="424">
        <v>13723</v>
      </c>
      <c r="L45" s="424">
        <v>14156</v>
      </c>
      <c r="M45" s="424">
        <v>14219</v>
      </c>
      <c r="N45" s="424">
        <v>15189</v>
      </c>
      <c r="O45" s="424">
        <v>15199</v>
      </c>
      <c r="P45" s="424">
        <v>15199.49</v>
      </c>
      <c r="Q45" s="1962" t="s">
        <v>37</v>
      </c>
      <c r="R45" s="1203" t="s">
        <v>816</v>
      </c>
    </row>
    <row r="46" spans="1:18" ht="17.45" customHeight="1">
      <c r="A46" s="1955"/>
      <c r="B46" s="1958"/>
      <c r="C46" s="22" t="s">
        <v>815</v>
      </c>
      <c r="D46" s="422">
        <v>13030</v>
      </c>
      <c r="E46" s="419">
        <v>13132</v>
      </c>
      <c r="F46" s="419">
        <v>13358</v>
      </c>
      <c r="G46" s="419">
        <v>12995</v>
      </c>
      <c r="H46" s="419">
        <v>13022</v>
      </c>
      <c r="I46" s="419">
        <v>13010</v>
      </c>
      <c r="J46" s="419">
        <v>13021</v>
      </c>
      <c r="K46" s="419">
        <v>12954</v>
      </c>
      <c r="L46" s="419">
        <v>12869</v>
      </c>
      <c r="M46" s="419">
        <v>12847</v>
      </c>
      <c r="N46" s="419">
        <v>13125</v>
      </c>
      <c r="O46" s="419">
        <v>13296</v>
      </c>
      <c r="P46" s="419">
        <v>13295.98</v>
      </c>
      <c r="Q46" s="1957"/>
      <c r="R46" s="1200" t="s">
        <v>814</v>
      </c>
    </row>
    <row r="47" spans="1:18" ht="17.45" customHeight="1">
      <c r="A47" s="1955"/>
      <c r="B47" s="1958"/>
      <c r="C47" s="22" t="s">
        <v>813</v>
      </c>
      <c r="D47" s="422">
        <v>5071</v>
      </c>
      <c r="E47" s="419">
        <v>5071</v>
      </c>
      <c r="F47" s="419">
        <v>4832</v>
      </c>
      <c r="G47" s="419">
        <v>4892</v>
      </c>
      <c r="H47" s="419">
        <v>4893</v>
      </c>
      <c r="I47" s="419">
        <v>4907</v>
      </c>
      <c r="J47" s="419">
        <v>4907</v>
      </c>
      <c r="K47" s="419">
        <v>4990</v>
      </c>
      <c r="L47" s="419">
        <v>4643</v>
      </c>
      <c r="M47" s="419">
        <v>4624</v>
      </c>
      <c r="N47" s="419">
        <v>4623</v>
      </c>
      <c r="O47" s="419">
        <v>4597</v>
      </c>
      <c r="P47" s="419">
        <v>4596.67</v>
      </c>
      <c r="Q47" s="1957"/>
      <c r="R47" s="1200" t="s">
        <v>812</v>
      </c>
    </row>
    <row r="48" spans="1:18" s="415" customFormat="1" ht="17.45" customHeight="1" thickBot="1">
      <c r="A48" s="1955"/>
      <c r="B48" s="1958"/>
      <c r="C48" s="60" t="s">
        <v>143</v>
      </c>
      <c r="D48" s="427">
        <v>29853</v>
      </c>
      <c r="E48" s="426">
        <v>29956</v>
      </c>
      <c r="F48" s="426">
        <v>30615</v>
      </c>
      <c r="G48" s="426">
        <v>31283</v>
      </c>
      <c r="H48" s="426">
        <v>31318</v>
      </c>
      <c r="I48" s="426">
        <v>31435</v>
      </c>
      <c r="J48" s="426">
        <v>31529</v>
      </c>
      <c r="K48" s="426">
        <f>K45+K46+K47</f>
        <v>31667</v>
      </c>
      <c r="L48" s="418">
        <f>SUM(L45:L47)-1</f>
        <v>31667</v>
      </c>
      <c r="M48" s="418">
        <f>SUM(M45:M47)-1</f>
        <v>31689</v>
      </c>
      <c r="N48" s="418">
        <f>SUM(N45:N47)</f>
        <v>32937</v>
      </c>
      <c r="O48" s="418">
        <f>SUM(O45:O47)</f>
        <v>33092</v>
      </c>
      <c r="P48" s="418">
        <f>SUM(P45:P47)</f>
        <v>33092.14</v>
      </c>
      <c r="Q48" s="1957"/>
      <c r="R48" s="1201" t="s">
        <v>0</v>
      </c>
    </row>
    <row r="49" spans="1:18" ht="17.45" customHeight="1" thickTop="1">
      <c r="A49" s="1955">
        <v>12</v>
      </c>
      <c r="B49" s="1958" t="s">
        <v>218</v>
      </c>
      <c r="C49" s="22" t="s">
        <v>818</v>
      </c>
      <c r="D49" s="425"/>
      <c r="E49" s="424"/>
      <c r="F49" s="424"/>
      <c r="G49" s="424"/>
      <c r="H49" s="424"/>
      <c r="I49" s="424">
        <v>9807</v>
      </c>
      <c r="J49" s="424">
        <v>10128</v>
      </c>
      <c r="K49" s="424">
        <v>10402</v>
      </c>
      <c r="L49" s="424">
        <v>10475</v>
      </c>
      <c r="M49" s="424">
        <v>10622</v>
      </c>
      <c r="N49" s="424">
        <v>10841</v>
      </c>
      <c r="O49" s="424">
        <v>11089</v>
      </c>
      <c r="P49" s="424">
        <v>11089.17</v>
      </c>
      <c r="Q49" s="1962" t="s">
        <v>39</v>
      </c>
      <c r="R49" s="1203" t="s">
        <v>816</v>
      </c>
    </row>
    <row r="50" spans="1:18" ht="17.45" customHeight="1">
      <c r="A50" s="1955"/>
      <c r="B50" s="1958"/>
      <c r="C50" s="22" t="s">
        <v>815</v>
      </c>
      <c r="D50" s="422"/>
      <c r="E50" s="419"/>
      <c r="F50" s="419"/>
      <c r="G50" s="419"/>
      <c r="H50" s="419"/>
      <c r="I50" s="419">
        <v>8808</v>
      </c>
      <c r="J50" s="419">
        <v>8586</v>
      </c>
      <c r="K50" s="419">
        <v>8542</v>
      </c>
      <c r="L50" s="419">
        <v>8576</v>
      </c>
      <c r="M50" s="419">
        <v>8565</v>
      </c>
      <c r="N50" s="419">
        <v>8521</v>
      </c>
      <c r="O50" s="419">
        <v>8328</v>
      </c>
      <c r="P50" s="419">
        <v>8328.26</v>
      </c>
      <c r="Q50" s="1957"/>
      <c r="R50" s="1200" t="s">
        <v>814</v>
      </c>
    </row>
    <row r="51" spans="1:18" ht="17.45" customHeight="1">
      <c r="A51" s="1955"/>
      <c r="B51" s="1958"/>
      <c r="C51" s="22" t="s">
        <v>813</v>
      </c>
      <c r="D51" s="422"/>
      <c r="E51" s="419"/>
      <c r="F51" s="419"/>
      <c r="G51" s="419"/>
      <c r="H51" s="419"/>
      <c r="I51" s="419">
        <v>2597</v>
      </c>
      <c r="J51" s="419">
        <v>2700</v>
      </c>
      <c r="K51" s="419">
        <v>2520</v>
      </c>
      <c r="L51" s="419">
        <v>2651</v>
      </c>
      <c r="M51" s="419">
        <v>2652</v>
      </c>
      <c r="N51" s="419">
        <v>2863</v>
      </c>
      <c r="O51" s="419">
        <v>3433</v>
      </c>
      <c r="P51" s="419">
        <v>3433.07</v>
      </c>
      <c r="Q51" s="1957"/>
      <c r="R51" s="1200" t="s">
        <v>812</v>
      </c>
    </row>
    <row r="52" spans="1:18" s="415" customFormat="1" ht="17.45" customHeight="1">
      <c r="A52" s="1955"/>
      <c r="B52" s="1958"/>
      <c r="C52" s="60" t="s">
        <v>143</v>
      </c>
      <c r="D52" s="423"/>
      <c r="E52" s="418"/>
      <c r="F52" s="418"/>
      <c r="G52" s="418"/>
      <c r="H52" s="418"/>
      <c r="I52" s="418">
        <v>21211</v>
      </c>
      <c r="J52" s="418">
        <v>21415</v>
      </c>
      <c r="K52" s="418">
        <f>K49+K50+K51</f>
        <v>21464</v>
      </c>
      <c r="L52" s="418">
        <f>SUM(L49:L51)</f>
        <v>21702</v>
      </c>
      <c r="M52" s="418">
        <f>SUM(M49:M51)</f>
        <v>21839</v>
      </c>
      <c r="N52" s="418">
        <f>SUM(N49:N51)</f>
        <v>22225</v>
      </c>
      <c r="O52" s="418">
        <f>SUM(O49:O51)</f>
        <v>22850</v>
      </c>
      <c r="P52" s="418">
        <f>SUM(P49:P51)</f>
        <v>22850.5</v>
      </c>
      <c r="Q52" s="1957"/>
      <c r="R52" s="1201" t="s">
        <v>0</v>
      </c>
    </row>
    <row r="53" spans="1:18" s="415" customFormat="1" ht="17.45" customHeight="1">
      <c r="A53" s="1950" t="s">
        <v>851</v>
      </c>
      <c r="B53" s="1951"/>
      <c r="C53" s="60" t="s">
        <v>818</v>
      </c>
      <c r="D53" s="423">
        <f t="shared" ref="D53:P53" si="5">D5+D9+D13+D17+D21+D25+D29+D33+D37+D41+D45+D49</f>
        <v>109322</v>
      </c>
      <c r="E53" s="418">
        <f t="shared" si="5"/>
        <v>113409</v>
      </c>
      <c r="F53" s="418">
        <f t="shared" si="5"/>
        <v>117551</v>
      </c>
      <c r="G53" s="418">
        <f t="shared" si="5"/>
        <v>122587</v>
      </c>
      <c r="H53" s="418">
        <f t="shared" si="5"/>
        <v>125314</v>
      </c>
      <c r="I53" s="418">
        <f t="shared" si="5"/>
        <v>131020</v>
      </c>
      <c r="J53" s="418">
        <f t="shared" si="5"/>
        <v>137494</v>
      </c>
      <c r="K53" s="418">
        <f t="shared" si="5"/>
        <v>142464</v>
      </c>
      <c r="L53" s="418">
        <f t="shared" si="5"/>
        <v>148194</v>
      </c>
      <c r="M53" s="418">
        <f t="shared" si="5"/>
        <v>155018.65</v>
      </c>
      <c r="N53" s="418">
        <f t="shared" si="5"/>
        <v>162868.12</v>
      </c>
      <c r="O53" s="418">
        <f t="shared" si="5"/>
        <v>176586</v>
      </c>
      <c r="P53" s="418">
        <f t="shared" si="5"/>
        <v>176585.13</v>
      </c>
      <c r="Q53" s="1953" t="s">
        <v>850</v>
      </c>
      <c r="R53" s="1201" t="s">
        <v>816</v>
      </c>
    </row>
    <row r="54" spans="1:18" s="415" customFormat="1" ht="17.45" customHeight="1">
      <c r="A54" s="1952"/>
      <c r="B54" s="1951"/>
      <c r="C54" s="60" t="s">
        <v>815</v>
      </c>
      <c r="D54" s="423">
        <f t="shared" ref="D54:P54" si="6">D6+D10+D14+D18+D22+D26+D30+D34+D38+D42+D46+D50</f>
        <v>130564</v>
      </c>
      <c r="E54" s="418">
        <f t="shared" si="6"/>
        <v>137372</v>
      </c>
      <c r="F54" s="418">
        <f t="shared" si="6"/>
        <v>142069</v>
      </c>
      <c r="G54" s="418">
        <f t="shared" si="6"/>
        <v>142532</v>
      </c>
      <c r="H54" s="418">
        <f t="shared" si="6"/>
        <v>142406</v>
      </c>
      <c r="I54" s="418">
        <f t="shared" si="6"/>
        <v>143142</v>
      </c>
      <c r="J54" s="418">
        <f t="shared" si="6"/>
        <v>139052</v>
      </c>
      <c r="K54" s="418">
        <f t="shared" si="6"/>
        <v>139211</v>
      </c>
      <c r="L54" s="418">
        <f t="shared" si="6"/>
        <v>139065</v>
      </c>
      <c r="M54" s="418">
        <f t="shared" si="6"/>
        <v>140379.13</v>
      </c>
      <c r="N54" s="418">
        <f t="shared" si="6"/>
        <v>150269</v>
      </c>
      <c r="O54" s="418">
        <f t="shared" si="6"/>
        <v>146827</v>
      </c>
      <c r="P54" s="418">
        <f t="shared" si="6"/>
        <v>146827.38</v>
      </c>
      <c r="Q54" s="1953"/>
      <c r="R54" s="1201" t="s">
        <v>814</v>
      </c>
    </row>
    <row r="55" spans="1:18" s="415" customFormat="1" ht="17.45" customHeight="1">
      <c r="A55" s="1952"/>
      <c r="B55" s="1951"/>
      <c r="C55" s="60" t="s">
        <v>813</v>
      </c>
      <c r="D55" s="423">
        <f t="shared" ref="D55:M55" si="7">D7+D11+D15+D19+D23+D27+D31+D35+D39+D43+D47+D51</f>
        <v>35559</v>
      </c>
      <c r="E55" s="418">
        <f t="shared" si="7"/>
        <v>33591</v>
      </c>
      <c r="F55" s="418">
        <f t="shared" si="7"/>
        <v>32384</v>
      </c>
      <c r="G55" s="418">
        <f t="shared" si="7"/>
        <v>32301</v>
      </c>
      <c r="H55" s="418">
        <f t="shared" si="7"/>
        <v>32348</v>
      </c>
      <c r="I55" s="418">
        <f t="shared" si="7"/>
        <v>30941</v>
      </c>
      <c r="J55" s="418">
        <f t="shared" si="7"/>
        <v>30765</v>
      </c>
      <c r="K55" s="418">
        <f t="shared" si="7"/>
        <v>31887</v>
      </c>
      <c r="L55" s="418">
        <f t="shared" si="7"/>
        <v>30175</v>
      </c>
      <c r="M55" s="418">
        <f t="shared" si="7"/>
        <v>29473</v>
      </c>
      <c r="N55" s="418">
        <v>29259</v>
      </c>
      <c r="O55" s="418">
        <f>O7+O11+O15+O19+O23+O27+O31+O35+O39+O43+O47+O51</f>
        <v>27089</v>
      </c>
      <c r="P55" s="418">
        <f>P7+P11+P15+P19+P23+P27+P31+P35+P39+P43+P47+P51</f>
        <v>27089.32</v>
      </c>
      <c r="Q55" s="1953"/>
      <c r="R55" s="1201" t="s">
        <v>812</v>
      </c>
    </row>
    <row r="56" spans="1:18" s="415" customFormat="1" ht="17.45" customHeight="1">
      <c r="A56" s="1952"/>
      <c r="B56" s="1951"/>
      <c r="C56" s="60" t="s">
        <v>143</v>
      </c>
      <c r="D56" s="423">
        <f t="shared" ref="D56:P56" si="8">SUM(D53:D55)</f>
        <v>275445</v>
      </c>
      <c r="E56" s="418">
        <f t="shared" si="8"/>
        <v>284372</v>
      </c>
      <c r="F56" s="418">
        <f t="shared" si="8"/>
        <v>292004</v>
      </c>
      <c r="G56" s="418">
        <f t="shared" si="8"/>
        <v>297420</v>
      </c>
      <c r="H56" s="418">
        <f t="shared" si="8"/>
        <v>300068</v>
      </c>
      <c r="I56" s="418">
        <f t="shared" si="8"/>
        <v>305103</v>
      </c>
      <c r="J56" s="418">
        <f t="shared" si="8"/>
        <v>307311</v>
      </c>
      <c r="K56" s="418">
        <f t="shared" si="8"/>
        <v>313562</v>
      </c>
      <c r="L56" s="418">
        <f t="shared" si="8"/>
        <v>317434</v>
      </c>
      <c r="M56" s="418">
        <f t="shared" si="8"/>
        <v>324870.78000000003</v>
      </c>
      <c r="N56" s="418">
        <f t="shared" si="8"/>
        <v>342396.12</v>
      </c>
      <c r="O56" s="418">
        <f t="shared" si="8"/>
        <v>350502</v>
      </c>
      <c r="P56" s="418">
        <f t="shared" si="8"/>
        <v>350501.83</v>
      </c>
      <c r="Q56" s="1953"/>
      <c r="R56" s="1201" t="s">
        <v>0</v>
      </c>
    </row>
    <row r="57" spans="1:18" ht="17.45" customHeight="1">
      <c r="A57" s="1204" t="s">
        <v>849</v>
      </c>
      <c r="B57" s="21"/>
      <c r="C57" s="59"/>
      <c r="D57" s="422"/>
      <c r="E57" s="419"/>
      <c r="F57" s="419"/>
      <c r="G57" s="419"/>
      <c r="H57" s="419"/>
      <c r="I57" s="419"/>
      <c r="J57" s="419"/>
      <c r="K57" s="419"/>
      <c r="L57" s="419"/>
      <c r="M57" s="419"/>
      <c r="N57" s="419"/>
      <c r="O57" s="419"/>
      <c r="P57" s="419"/>
      <c r="Q57" s="22" t="s">
        <v>848</v>
      </c>
      <c r="R57" s="421"/>
    </row>
    <row r="58" spans="1:18" ht="17.45" customHeight="1">
      <c r="A58" s="1955">
        <v>1</v>
      </c>
      <c r="B58" s="1958" t="s">
        <v>847</v>
      </c>
      <c r="C58" s="22" t="s">
        <v>818</v>
      </c>
      <c r="D58" s="419">
        <v>31</v>
      </c>
      <c r="E58" s="419">
        <v>31</v>
      </c>
      <c r="F58" s="419">
        <v>31</v>
      </c>
      <c r="G58" s="419">
        <v>31</v>
      </c>
      <c r="H58" s="419">
        <v>31</v>
      </c>
      <c r="I58" s="419">
        <v>31</v>
      </c>
      <c r="J58" s="419">
        <v>31</v>
      </c>
      <c r="K58" s="419">
        <v>31</v>
      </c>
      <c r="L58" s="419">
        <v>31</v>
      </c>
      <c r="M58" s="419">
        <v>31</v>
      </c>
      <c r="N58" s="419">
        <v>31</v>
      </c>
      <c r="O58" s="419">
        <v>31</v>
      </c>
      <c r="P58" s="419">
        <v>31.23</v>
      </c>
      <c r="Q58" s="1963" t="s">
        <v>846</v>
      </c>
      <c r="R58" s="1200" t="s">
        <v>816</v>
      </c>
    </row>
    <row r="59" spans="1:18" ht="17.45" customHeight="1">
      <c r="A59" s="1955"/>
      <c r="B59" s="1957"/>
      <c r="C59" s="22" t="s">
        <v>815</v>
      </c>
      <c r="D59" s="419">
        <v>40</v>
      </c>
      <c r="E59" s="419">
        <v>40</v>
      </c>
      <c r="F59" s="419">
        <v>40</v>
      </c>
      <c r="G59" s="419">
        <v>40</v>
      </c>
      <c r="H59" s="419">
        <v>40</v>
      </c>
      <c r="I59" s="419">
        <v>40</v>
      </c>
      <c r="J59" s="419">
        <v>40</v>
      </c>
      <c r="K59" s="419">
        <v>40</v>
      </c>
      <c r="L59" s="419">
        <v>40</v>
      </c>
      <c r="M59" s="419">
        <v>40</v>
      </c>
      <c r="N59" s="419">
        <v>40</v>
      </c>
      <c r="O59" s="419">
        <v>40</v>
      </c>
      <c r="P59" s="419">
        <v>40.11</v>
      </c>
      <c r="Q59" s="1964"/>
      <c r="R59" s="1200" t="s">
        <v>814</v>
      </c>
    </row>
    <row r="60" spans="1:18" ht="17.45" customHeight="1">
      <c r="A60" s="1955"/>
      <c r="B60" s="1957"/>
      <c r="C60" s="22" t="s">
        <v>813</v>
      </c>
      <c r="D60" s="419">
        <v>19</v>
      </c>
      <c r="E60" s="419">
        <v>19</v>
      </c>
      <c r="F60" s="419">
        <v>19</v>
      </c>
      <c r="G60" s="419">
        <v>19</v>
      </c>
      <c r="H60" s="419">
        <v>19</v>
      </c>
      <c r="I60" s="419">
        <v>19</v>
      </c>
      <c r="J60" s="419">
        <v>19</v>
      </c>
      <c r="K60" s="419">
        <v>19</v>
      </c>
      <c r="L60" s="419">
        <v>19</v>
      </c>
      <c r="M60" s="419">
        <v>19</v>
      </c>
      <c r="N60" s="419">
        <v>19</v>
      </c>
      <c r="O60" s="419">
        <v>19</v>
      </c>
      <c r="P60" s="419">
        <v>18.89</v>
      </c>
      <c r="Q60" s="1964"/>
      <c r="R60" s="1200" t="s">
        <v>812</v>
      </c>
    </row>
    <row r="61" spans="1:18" s="415" customFormat="1" ht="17.45" customHeight="1">
      <c r="A61" s="1955"/>
      <c r="B61" s="1957"/>
      <c r="C61" s="60" t="s">
        <v>143</v>
      </c>
      <c r="D61" s="418">
        <v>90</v>
      </c>
      <c r="E61" s="418">
        <v>90</v>
      </c>
      <c r="F61" s="418">
        <v>90</v>
      </c>
      <c r="G61" s="418">
        <v>90</v>
      </c>
      <c r="H61" s="418">
        <v>90</v>
      </c>
      <c r="I61" s="418">
        <v>90</v>
      </c>
      <c r="J61" s="418">
        <v>90</v>
      </c>
      <c r="K61" s="418">
        <v>90</v>
      </c>
      <c r="L61" s="418">
        <f>SUM(L58:L60)</f>
        <v>90</v>
      </c>
      <c r="M61" s="418">
        <f>SUM(M58:M60)</f>
        <v>90</v>
      </c>
      <c r="N61" s="418">
        <f>SUM(N58:N60)</f>
        <v>90</v>
      </c>
      <c r="O61" s="418">
        <f>SUM(O58:O60)</f>
        <v>90</v>
      </c>
      <c r="P61" s="418">
        <f>SUM(P58:P60)</f>
        <v>90.23</v>
      </c>
      <c r="Q61" s="1965"/>
      <c r="R61" s="1201" t="s">
        <v>0</v>
      </c>
    </row>
    <row r="62" spans="1:18" ht="17.45" customHeight="1">
      <c r="A62" s="1955">
        <v>2</v>
      </c>
      <c r="B62" s="1958" t="s">
        <v>845</v>
      </c>
      <c r="C62" s="22" t="s">
        <v>818</v>
      </c>
      <c r="D62" s="419">
        <v>349</v>
      </c>
      <c r="E62" s="419">
        <v>465</v>
      </c>
      <c r="F62" s="419">
        <v>465</v>
      </c>
      <c r="G62" s="419">
        <v>465</v>
      </c>
      <c r="H62" s="419">
        <v>465</v>
      </c>
      <c r="I62" s="419">
        <v>465</v>
      </c>
      <c r="J62" s="419">
        <v>465</v>
      </c>
      <c r="K62" s="419">
        <v>465</v>
      </c>
      <c r="L62" s="419">
        <v>465</v>
      </c>
      <c r="M62" s="420">
        <v>464.78000000000003</v>
      </c>
      <c r="N62" s="420">
        <v>465</v>
      </c>
      <c r="O62" s="420">
        <v>465</v>
      </c>
      <c r="P62" s="420">
        <v>464.78</v>
      </c>
      <c r="Q62" s="1958" t="s">
        <v>21</v>
      </c>
      <c r="R62" s="1200" t="s">
        <v>816</v>
      </c>
    </row>
    <row r="63" spans="1:18" ht="17.45" customHeight="1">
      <c r="A63" s="1955"/>
      <c r="B63" s="1957"/>
      <c r="C63" s="22" t="s">
        <v>815</v>
      </c>
      <c r="D63" s="419">
        <v>33</v>
      </c>
      <c r="E63" s="419">
        <v>43</v>
      </c>
      <c r="F63" s="419">
        <v>43</v>
      </c>
      <c r="G63" s="419">
        <v>43</v>
      </c>
      <c r="H63" s="419">
        <v>43</v>
      </c>
      <c r="I63" s="419">
        <v>43</v>
      </c>
      <c r="J63" s="419">
        <v>43</v>
      </c>
      <c r="K63" s="419">
        <v>43</v>
      </c>
      <c r="L63" s="419">
        <v>43</v>
      </c>
      <c r="M63" s="420">
        <v>42.72</v>
      </c>
      <c r="N63" s="420">
        <v>43</v>
      </c>
      <c r="O63" s="420">
        <v>43</v>
      </c>
      <c r="P63" s="420">
        <v>42.72</v>
      </c>
      <c r="Q63" s="1958"/>
      <c r="R63" s="1200" t="s">
        <v>814</v>
      </c>
    </row>
    <row r="64" spans="1:18" ht="17.45" customHeight="1">
      <c r="A64" s="1955"/>
      <c r="B64" s="1957"/>
      <c r="C64" s="22" t="s">
        <v>813</v>
      </c>
      <c r="D64" s="419">
        <v>3</v>
      </c>
      <c r="E64" s="419">
        <v>3</v>
      </c>
      <c r="F64" s="419">
        <v>3</v>
      </c>
      <c r="G64" s="419">
        <v>3</v>
      </c>
      <c r="H64" s="419">
        <v>3</v>
      </c>
      <c r="I64" s="419">
        <v>3</v>
      </c>
      <c r="J64" s="419">
        <v>3</v>
      </c>
      <c r="K64" s="419">
        <v>3</v>
      </c>
      <c r="L64" s="419">
        <v>3</v>
      </c>
      <c r="M64" s="420">
        <v>3.02</v>
      </c>
      <c r="N64" s="420">
        <v>3</v>
      </c>
      <c r="O64" s="420">
        <v>3</v>
      </c>
      <c r="P64" s="420">
        <v>3.02</v>
      </c>
      <c r="Q64" s="1958"/>
      <c r="R64" s="1200" t="s">
        <v>812</v>
      </c>
    </row>
    <row r="65" spans="1:18" s="415" customFormat="1" ht="17.45" customHeight="1" thickBot="1">
      <c r="A65" s="1959"/>
      <c r="B65" s="1960"/>
      <c r="C65" s="1616" t="s">
        <v>143</v>
      </c>
      <c r="D65" s="426">
        <v>385</v>
      </c>
      <c r="E65" s="426">
        <v>511</v>
      </c>
      <c r="F65" s="426">
        <v>511</v>
      </c>
      <c r="G65" s="426">
        <v>511</v>
      </c>
      <c r="H65" s="426">
        <v>511</v>
      </c>
      <c r="I65" s="426">
        <v>511</v>
      </c>
      <c r="J65" s="426">
        <v>511</v>
      </c>
      <c r="K65" s="426">
        <v>511</v>
      </c>
      <c r="L65" s="426">
        <f>SUM(L62:L64)</f>
        <v>511</v>
      </c>
      <c r="M65" s="1617">
        <f>SUM(M62:M64)</f>
        <v>510.52</v>
      </c>
      <c r="N65" s="1617">
        <f>SUM(N62:N64)</f>
        <v>511</v>
      </c>
      <c r="O65" s="1617">
        <f>SUM(O62:O64)</f>
        <v>511</v>
      </c>
      <c r="P65" s="1617">
        <f>SUM(P62:P64)</f>
        <v>510.52</v>
      </c>
      <c r="Q65" s="1961"/>
      <c r="R65" s="1202" t="s">
        <v>0</v>
      </c>
    </row>
    <row r="66" spans="1:18" ht="17.45" customHeight="1" thickTop="1">
      <c r="A66" s="1954">
        <v>3</v>
      </c>
      <c r="B66" s="1956" t="s">
        <v>844</v>
      </c>
      <c r="C66" s="1546" t="s">
        <v>818</v>
      </c>
      <c r="D66" s="424">
        <v>89</v>
      </c>
      <c r="E66" s="424">
        <v>89</v>
      </c>
      <c r="F66" s="424">
        <v>89</v>
      </c>
      <c r="G66" s="424">
        <v>89</v>
      </c>
      <c r="H66" s="424">
        <v>89</v>
      </c>
      <c r="I66" s="424">
        <v>89</v>
      </c>
      <c r="J66" s="424">
        <v>89</v>
      </c>
      <c r="K66" s="424">
        <v>89</v>
      </c>
      <c r="L66" s="424">
        <v>89</v>
      </c>
      <c r="M66" s="424">
        <v>89</v>
      </c>
      <c r="N66" s="424">
        <v>89</v>
      </c>
      <c r="O66" s="424">
        <v>89</v>
      </c>
      <c r="P66" s="424">
        <v>89.04</v>
      </c>
      <c r="Q66" s="1956" t="s">
        <v>843</v>
      </c>
      <c r="R66" s="1203" t="s">
        <v>816</v>
      </c>
    </row>
    <row r="67" spans="1:18" ht="17.45" customHeight="1">
      <c r="A67" s="1955"/>
      <c r="B67" s="1957"/>
      <c r="C67" s="22" t="s">
        <v>815</v>
      </c>
      <c r="D67" s="419">
        <v>17</v>
      </c>
      <c r="E67" s="419">
        <v>17</v>
      </c>
      <c r="F67" s="419">
        <v>17</v>
      </c>
      <c r="G67" s="419">
        <v>17</v>
      </c>
      <c r="H67" s="419">
        <v>17</v>
      </c>
      <c r="I67" s="419">
        <v>17</v>
      </c>
      <c r="J67" s="419">
        <v>17</v>
      </c>
      <c r="K67" s="419">
        <v>17</v>
      </c>
      <c r="L67" s="419">
        <v>17</v>
      </c>
      <c r="M67" s="419">
        <v>17</v>
      </c>
      <c r="N67" s="419">
        <v>17</v>
      </c>
      <c r="O67" s="419">
        <v>17</v>
      </c>
      <c r="P67" s="419">
        <v>16.510000000000002</v>
      </c>
      <c r="Q67" s="1958"/>
      <c r="R67" s="1200" t="s">
        <v>814</v>
      </c>
    </row>
    <row r="68" spans="1:18" ht="17.45" customHeight="1">
      <c r="A68" s="1955"/>
      <c r="B68" s="1957"/>
      <c r="C68" s="22" t="s">
        <v>813</v>
      </c>
      <c r="D68" s="419">
        <v>471</v>
      </c>
      <c r="E68" s="419">
        <v>471</v>
      </c>
      <c r="F68" s="419">
        <v>471</v>
      </c>
      <c r="G68" s="419">
        <v>471</v>
      </c>
      <c r="H68" s="419">
        <v>471</v>
      </c>
      <c r="I68" s="419">
        <v>471</v>
      </c>
      <c r="J68" s="419">
        <v>471</v>
      </c>
      <c r="K68" s="419">
        <v>471</v>
      </c>
      <c r="L68" s="419">
        <v>471</v>
      </c>
      <c r="M68" s="419">
        <v>471</v>
      </c>
      <c r="N68" s="419">
        <v>471</v>
      </c>
      <c r="O68" s="419">
        <v>471</v>
      </c>
      <c r="P68" s="419">
        <v>470.93</v>
      </c>
      <c r="Q68" s="1958"/>
      <c r="R68" s="1200" t="s">
        <v>812</v>
      </c>
    </row>
    <row r="69" spans="1:18" s="415" customFormat="1" ht="17.45" customHeight="1">
      <c r="A69" s="1955"/>
      <c r="B69" s="1957"/>
      <c r="C69" s="60" t="s">
        <v>143</v>
      </c>
      <c r="D69" s="418">
        <v>576</v>
      </c>
      <c r="E69" s="418">
        <v>576</v>
      </c>
      <c r="F69" s="418">
        <v>576</v>
      </c>
      <c r="G69" s="418">
        <v>576</v>
      </c>
      <c r="H69" s="418">
        <v>576</v>
      </c>
      <c r="I69" s="418">
        <v>576</v>
      </c>
      <c r="J69" s="418">
        <v>576</v>
      </c>
      <c r="K69" s="418">
        <v>576</v>
      </c>
      <c r="L69" s="418">
        <f>SUM(L66:L68)-1</f>
        <v>576</v>
      </c>
      <c r="M69" s="418">
        <f>SUM(M66:M68)-1</f>
        <v>576</v>
      </c>
      <c r="N69" s="418">
        <f>SUM(N66:N68)</f>
        <v>577</v>
      </c>
      <c r="O69" s="418">
        <f>SUM(O66:O68)</f>
        <v>577</v>
      </c>
      <c r="P69" s="418">
        <f>SUM(P66:P68)</f>
        <v>576.48</v>
      </c>
      <c r="Q69" s="1958"/>
      <c r="R69" s="1201" t="s">
        <v>0</v>
      </c>
    </row>
    <row r="70" spans="1:18" ht="17.45" customHeight="1">
      <c r="A70" s="1955">
        <v>4</v>
      </c>
      <c r="B70" s="1958" t="s">
        <v>842</v>
      </c>
      <c r="C70" s="22" t="s">
        <v>818</v>
      </c>
      <c r="D70" s="419">
        <v>9</v>
      </c>
      <c r="E70" s="419">
        <v>9</v>
      </c>
      <c r="F70" s="419">
        <v>9</v>
      </c>
      <c r="G70" s="419">
        <v>9</v>
      </c>
      <c r="H70" s="419">
        <v>9</v>
      </c>
      <c r="I70" s="419">
        <v>9</v>
      </c>
      <c r="J70" s="419">
        <v>9</v>
      </c>
      <c r="K70" s="419">
        <v>9</v>
      </c>
      <c r="L70" s="419">
        <v>9</v>
      </c>
      <c r="M70" s="419">
        <v>9</v>
      </c>
      <c r="N70" s="419">
        <v>9</v>
      </c>
      <c r="O70" s="419">
        <v>9</v>
      </c>
      <c r="P70" s="419">
        <v>8.76</v>
      </c>
      <c r="Q70" s="1958" t="s">
        <v>841</v>
      </c>
      <c r="R70" s="1200" t="s">
        <v>816</v>
      </c>
    </row>
    <row r="71" spans="1:18" ht="17.45" customHeight="1">
      <c r="A71" s="1955"/>
      <c r="B71" s="1957"/>
      <c r="C71" s="22" t="s">
        <v>815</v>
      </c>
      <c r="D71" s="419">
        <v>0</v>
      </c>
      <c r="E71" s="419">
        <v>0</v>
      </c>
      <c r="F71" s="419">
        <v>0</v>
      </c>
      <c r="G71" s="419">
        <v>0</v>
      </c>
      <c r="H71" s="419">
        <v>0</v>
      </c>
      <c r="I71" s="419">
        <v>0</v>
      </c>
      <c r="J71" s="419">
        <v>0</v>
      </c>
      <c r="K71" s="419">
        <v>0</v>
      </c>
      <c r="L71" s="419">
        <v>0</v>
      </c>
      <c r="M71" s="419">
        <v>22</v>
      </c>
      <c r="N71" s="419">
        <v>22</v>
      </c>
      <c r="O71" s="419">
        <v>22</v>
      </c>
      <c r="P71" s="419">
        <v>21.83</v>
      </c>
      <c r="Q71" s="1958"/>
      <c r="R71" s="1200" t="s">
        <v>814</v>
      </c>
    </row>
    <row r="72" spans="1:18" ht="17.45" customHeight="1">
      <c r="A72" s="1955"/>
      <c r="B72" s="1957"/>
      <c r="C72" s="22" t="s">
        <v>813</v>
      </c>
      <c r="D72" s="419">
        <v>307</v>
      </c>
      <c r="E72" s="419">
        <v>307</v>
      </c>
      <c r="F72" s="419">
        <v>307</v>
      </c>
      <c r="G72" s="419">
        <v>307</v>
      </c>
      <c r="H72" s="419">
        <v>307</v>
      </c>
      <c r="I72" s="419">
        <v>307</v>
      </c>
      <c r="J72" s="419">
        <v>307</v>
      </c>
      <c r="K72" s="419">
        <v>402</v>
      </c>
      <c r="L72" s="419">
        <v>402</v>
      </c>
      <c r="M72" s="419">
        <v>415</v>
      </c>
      <c r="N72" s="419">
        <v>415</v>
      </c>
      <c r="O72" s="419">
        <v>416</v>
      </c>
      <c r="P72" s="419">
        <v>415.83000000000004</v>
      </c>
      <c r="Q72" s="1958"/>
      <c r="R72" s="1200" t="s">
        <v>812</v>
      </c>
    </row>
    <row r="73" spans="1:18" s="415" customFormat="1" ht="17.45" customHeight="1">
      <c r="A73" s="1955"/>
      <c r="B73" s="1957"/>
      <c r="C73" s="60" t="s">
        <v>143</v>
      </c>
      <c r="D73" s="418">
        <v>315</v>
      </c>
      <c r="E73" s="418">
        <v>315</v>
      </c>
      <c r="F73" s="418">
        <v>315</v>
      </c>
      <c r="G73" s="418">
        <v>315</v>
      </c>
      <c r="H73" s="418">
        <v>315</v>
      </c>
      <c r="I73" s="418">
        <v>315</v>
      </c>
      <c r="J73" s="418">
        <v>315</v>
      </c>
      <c r="K73" s="418">
        <v>410</v>
      </c>
      <c r="L73" s="418">
        <f>SUM(L70:L72)-1</f>
        <v>410</v>
      </c>
      <c r="M73" s="418">
        <f>SUM(M70:M72)-1</f>
        <v>445</v>
      </c>
      <c r="N73" s="418">
        <f>SUM(N70:N72)</f>
        <v>446</v>
      </c>
      <c r="O73" s="418">
        <f>SUM(O70:O72)</f>
        <v>447</v>
      </c>
      <c r="P73" s="418">
        <f>SUM(P70:P72)</f>
        <v>446.42</v>
      </c>
      <c r="Q73" s="1958"/>
      <c r="R73" s="1201" t="s">
        <v>0</v>
      </c>
    </row>
    <row r="74" spans="1:18" s="415" customFormat="1" ht="17.45" customHeight="1">
      <c r="A74" s="1950" t="s">
        <v>840</v>
      </c>
      <c r="B74" s="1951"/>
      <c r="C74" s="22" t="s">
        <v>818</v>
      </c>
      <c r="D74" s="418">
        <f t="shared" ref="D74:P74" si="9">D58+D62+D66+D70</f>
        <v>478</v>
      </c>
      <c r="E74" s="418">
        <f t="shared" si="9"/>
        <v>594</v>
      </c>
      <c r="F74" s="418">
        <f t="shared" si="9"/>
        <v>594</v>
      </c>
      <c r="G74" s="418">
        <f t="shared" si="9"/>
        <v>594</v>
      </c>
      <c r="H74" s="418">
        <f t="shared" si="9"/>
        <v>594</v>
      </c>
      <c r="I74" s="418">
        <f t="shared" si="9"/>
        <v>594</v>
      </c>
      <c r="J74" s="418">
        <f t="shared" si="9"/>
        <v>594</v>
      </c>
      <c r="K74" s="418">
        <f t="shared" si="9"/>
        <v>594</v>
      </c>
      <c r="L74" s="418">
        <f t="shared" si="9"/>
        <v>594</v>
      </c>
      <c r="M74" s="418">
        <f t="shared" si="9"/>
        <v>593.78</v>
      </c>
      <c r="N74" s="418">
        <f t="shared" si="9"/>
        <v>594</v>
      </c>
      <c r="O74" s="418">
        <f t="shared" si="9"/>
        <v>594</v>
      </c>
      <c r="P74" s="418">
        <f t="shared" si="9"/>
        <v>593.80999999999995</v>
      </c>
      <c r="Q74" s="1953" t="s">
        <v>839</v>
      </c>
      <c r="R74" s="1200" t="s">
        <v>816</v>
      </c>
    </row>
    <row r="75" spans="1:18" s="415" customFormat="1" ht="17.45" customHeight="1">
      <c r="A75" s="1952"/>
      <c r="B75" s="1951"/>
      <c r="C75" s="22" t="s">
        <v>815</v>
      </c>
      <c r="D75" s="418">
        <f t="shared" ref="D75:P75" si="10">D59+D63+D67+D71</f>
        <v>90</v>
      </c>
      <c r="E75" s="418">
        <f t="shared" si="10"/>
        <v>100</v>
      </c>
      <c r="F75" s="418">
        <f t="shared" si="10"/>
        <v>100</v>
      </c>
      <c r="G75" s="418">
        <f t="shared" si="10"/>
        <v>100</v>
      </c>
      <c r="H75" s="418">
        <f t="shared" si="10"/>
        <v>100</v>
      </c>
      <c r="I75" s="418">
        <f t="shared" si="10"/>
        <v>100</v>
      </c>
      <c r="J75" s="418">
        <f t="shared" si="10"/>
        <v>100</v>
      </c>
      <c r="K75" s="418">
        <f t="shared" si="10"/>
        <v>100</v>
      </c>
      <c r="L75" s="418">
        <f t="shared" si="10"/>
        <v>100</v>
      </c>
      <c r="M75" s="418">
        <f t="shared" si="10"/>
        <v>121.72</v>
      </c>
      <c r="N75" s="418">
        <f t="shared" si="10"/>
        <v>122</v>
      </c>
      <c r="O75" s="418">
        <f t="shared" si="10"/>
        <v>122</v>
      </c>
      <c r="P75" s="418">
        <f t="shared" si="10"/>
        <v>121.17</v>
      </c>
      <c r="Q75" s="1953"/>
      <c r="R75" s="1200" t="s">
        <v>814</v>
      </c>
    </row>
    <row r="76" spans="1:18" s="415" customFormat="1" ht="17.45" customHeight="1">
      <c r="A76" s="1952"/>
      <c r="B76" s="1951"/>
      <c r="C76" s="22" t="s">
        <v>813</v>
      </c>
      <c r="D76" s="418">
        <f t="shared" ref="D76:P76" si="11">D60+D64+D68+D72</f>
        <v>800</v>
      </c>
      <c r="E76" s="418">
        <f t="shared" si="11"/>
        <v>800</v>
      </c>
      <c r="F76" s="418">
        <f t="shared" si="11"/>
        <v>800</v>
      </c>
      <c r="G76" s="418">
        <f t="shared" si="11"/>
        <v>800</v>
      </c>
      <c r="H76" s="418">
        <f t="shared" si="11"/>
        <v>800</v>
      </c>
      <c r="I76" s="418">
        <f t="shared" si="11"/>
        <v>800</v>
      </c>
      <c r="J76" s="418">
        <f t="shared" si="11"/>
        <v>800</v>
      </c>
      <c r="K76" s="418">
        <f t="shared" si="11"/>
        <v>895</v>
      </c>
      <c r="L76" s="418">
        <f t="shared" si="11"/>
        <v>895</v>
      </c>
      <c r="M76" s="418">
        <f t="shared" si="11"/>
        <v>908.02</v>
      </c>
      <c r="N76" s="418">
        <f t="shared" si="11"/>
        <v>908</v>
      </c>
      <c r="O76" s="418">
        <f t="shared" si="11"/>
        <v>909</v>
      </c>
      <c r="P76" s="418">
        <f t="shared" si="11"/>
        <v>908.67000000000007</v>
      </c>
      <c r="Q76" s="1953"/>
      <c r="R76" s="1200" t="s">
        <v>812</v>
      </c>
    </row>
    <row r="77" spans="1:18" s="415" customFormat="1" ht="17.45" customHeight="1">
      <c r="A77" s="1952"/>
      <c r="B77" s="1951"/>
      <c r="C77" s="60" t="s">
        <v>143</v>
      </c>
      <c r="D77" s="418">
        <f t="shared" ref="D77:P77" si="12">SUM(D74:D76)</f>
        <v>1368</v>
      </c>
      <c r="E77" s="418">
        <f t="shared" si="12"/>
        <v>1494</v>
      </c>
      <c r="F77" s="418">
        <f t="shared" si="12"/>
        <v>1494</v>
      </c>
      <c r="G77" s="418">
        <f t="shared" si="12"/>
        <v>1494</v>
      </c>
      <c r="H77" s="418">
        <f t="shared" si="12"/>
        <v>1494</v>
      </c>
      <c r="I77" s="418">
        <f t="shared" si="12"/>
        <v>1494</v>
      </c>
      <c r="J77" s="418">
        <f t="shared" si="12"/>
        <v>1494</v>
      </c>
      <c r="K77" s="418">
        <f t="shared" si="12"/>
        <v>1589</v>
      </c>
      <c r="L77" s="418">
        <f t="shared" si="12"/>
        <v>1589</v>
      </c>
      <c r="M77" s="418">
        <f t="shared" si="12"/>
        <v>1623.52</v>
      </c>
      <c r="N77" s="418">
        <f t="shared" si="12"/>
        <v>1624</v>
      </c>
      <c r="O77" s="418">
        <f t="shared" si="12"/>
        <v>1625</v>
      </c>
      <c r="P77" s="418">
        <f t="shared" si="12"/>
        <v>1623.65</v>
      </c>
      <c r="Q77" s="1953"/>
      <c r="R77" s="1201" t="s">
        <v>0</v>
      </c>
    </row>
    <row r="78" spans="1:18" s="415" customFormat="1" ht="17.45" customHeight="1">
      <c r="A78" s="1950" t="s">
        <v>838</v>
      </c>
      <c r="B78" s="1951"/>
      <c r="C78" s="22" t="s">
        <v>818</v>
      </c>
      <c r="D78" s="418">
        <f t="shared" ref="D78:P78" si="13">D53+D74</f>
        <v>109800</v>
      </c>
      <c r="E78" s="418">
        <f t="shared" si="13"/>
        <v>114003</v>
      </c>
      <c r="F78" s="418">
        <f t="shared" si="13"/>
        <v>118145</v>
      </c>
      <c r="G78" s="418">
        <f t="shared" si="13"/>
        <v>123181</v>
      </c>
      <c r="H78" s="418">
        <f t="shared" si="13"/>
        <v>125908</v>
      </c>
      <c r="I78" s="418">
        <f t="shared" si="13"/>
        <v>131614</v>
      </c>
      <c r="J78" s="418">
        <f t="shared" si="13"/>
        <v>138088</v>
      </c>
      <c r="K78" s="418">
        <f t="shared" si="13"/>
        <v>143058</v>
      </c>
      <c r="L78" s="418">
        <f t="shared" si="13"/>
        <v>148788</v>
      </c>
      <c r="M78" s="418">
        <f t="shared" si="13"/>
        <v>155612.43</v>
      </c>
      <c r="N78" s="418">
        <f t="shared" si="13"/>
        <v>163462.12</v>
      </c>
      <c r="O78" s="418">
        <f t="shared" si="13"/>
        <v>177180</v>
      </c>
      <c r="P78" s="418">
        <f t="shared" si="13"/>
        <v>177178.94</v>
      </c>
      <c r="Q78" s="1953" t="s">
        <v>837</v>
      </c>
      <c r="R78" s="1200" t="s">
        <v>816</v>
      </c>
    </row>
    <row r="79" spans="1:18" s="415" customFormat="1" ht="17.45" customHeight="1">
      <c r="A79" s="1952"/>
      <c r="B79" s="1951"/>
      <c r="C79" s="22" t="s">
        <v>815</v>
      </c>
      <c r="D79" s="418">
        <f t="shared" ref="D79:P79" si="14">D54+D75</f>
        <v>130654</v>
      </c>
      <c r="E79" s="418">
        <f t="shared" si="14"/>
        <v>137472</v>
      </c>
      <c r="F79" s="418">
        <f t="shared" si="14"/>
        <v>142169</v>
      </c>
      <c r="G79" s="418">
        <f t="shared" si="14"/>
        <v>142632</v>
      </c>
      <c r="H79" s="418">
        <f t="shared" si="14"/>
        <v>142506</v>
      </c>
      <c r="I79" s="418">
        <f t="shared" si="14"/>
        <v>143242</v>
      </c>
      <c r="J79" s="418">
        <f t="shared" si="14"/>
        <v>139152</v>
      </c>
      <c r="K79" s="418">
        <f t="shared" si="14"/>
        <v>139311</v>
      </c>
      <c r="L79" s="418">
        <f t="shared" si="14"/>
        <v>139165</v>
      </c>
      <c r="M79" s="418">
        <f t="shared" si="14"/>
        <v>140500.85</v>
      </c>
      <c r="N79" s="418">
        <f t="shared" si="14"/>
        <v>150391</v>
      </c>
      <c r="O79" s="418">
        <f t="shared" si="14"/>
        <v>146949</v>
      </c>
      <c r="P79" s="418">
        <f t="shared" si="14"/>
        <v>146948.55000000002</v>
      </c>
      <c r="Q79" s="1953"/>
      <c r="R79" s="1200" t="s">
        <v>814</v>
      </c>
    </row>
    <row r="80" spans="1:18" s="415" customFormat="1" ht="17.45" customHeight="1">
      <c r="A80" s="1952"/>
      <c r="B80" s="1951"/>
      <c r="C80" s="22" t="s">
        <v>813</v>
      </c>
      <c r="D80" s="418">
        <f t="shared" ref="D80:P80" si="15">D55+D76</f>
        <v>36359</v>
      </c>
      <c r="E80" s="418">
        <f t="shared" si="15"/>
        <v>34391</v>
      </c>
      <c r="F80" s="418">
        <f t="shared" si="15"/>
        <v>33184</v>
      </c>
      <c r="G80" s="418">
        <f t="shared" si="15"/>
        <v>33101</v>
      </c>
      <c r="H80" s="418">
        <f t="shared" si="15"/>
        <v>33148</v>
      </c>
      <c r="I80" s="418">
        <f t="shared" si="15"/>
        <v>31741</v>
      </c>
      <c r="J80" s="418">
        <f t="shared" si="15"/>
        <v>31565</v>
      </c>
      <c r="K80" s="418">
        <f t="shared" si="15"/>
        <v>32782</v>
      </c>
      <c r="L80" s="418">
        <f t="shared" si="15"/>
        <v>31070</v>
      </c>
      <c r="M80" s="418">
        <f t="shared" si="15"/>
        <v>30381.02</v>
      </c>
      <c r="N80" s="418">
        <f t="shared" si="15"/>
        <v>30167</v>
      </c>
      <c r="O80" s="418">
        <f t="shared" si="15"/>
        <v>27998</v>
      </c>
      <c r="P80" s="418">
        <f t="shared" si="15"/>
        <v>27997.989999999998</v>
      </c>
      <c r="Q80" s="1953"/>
      <c r="R80" s="1200" t="s">
        <v>812</v>
      </c>
    </row>
    <row r="81" spans="1:18" s="415" customFormat="1" ht="17.45" customHeight="1">
      <c r="A81" s="1952"/>
      <c r="B81" s="1951"/>
      <c r="C81" s="60" t="s">
        <v>143</v>
      </c>
      <c r="D81" s="418">
        <f t="shared" ref="D81:P81" si="16">SUM(D78:D80)</f>
        <v>276813</v>
      </c>
      <c r="E81" s="418">
        <f t="shared" si="16"/>
        <v>285866</v>
      </c>
      <c r="F81" s="418">
        <f t="shared" si="16"/>
        <v>293498</v>
      </c>
      <c r="G81" s="418">
        <f t="shared" si="16"/>
        <v>298914</v>
      </c>
      <c r="H81" s="418">
        <f t="shared" si="16"/>
        <v>301562</v>
      </c>
      <c r="I81" s="418">
        <f t="shared" si="16"/>
        <v>306597</v>
      </c>
      <c r="J81" s="418">
        <f t="shared" si="16"/>
        <v>308805</v>
      </c>
      <c r="K81" s="418">
        <f t="shared" si="16"/>
        <v>315151</v>
      </c>
      <c r="L81" s="418">
        <f t="shared" si="16"/>
        <v>319023</v>
      </c>
      <c r="M81" s="418">
        <f t="shared" si="16"/>
        <v>326494.30000000005</v>
      </c>
      <c r="N81" s="418">
        <f t="shared" si="16"/>
        <v>344020.12</v>
      </c>
      <c r="O81" s="418">
        <f t="shared" si="16"/>
        <v>352127</v>
      </c>
      <c r="P81" s="418">
        <f t="shared" si="16"/>
        <v>352125.48</v>
      </c>
      <c r="Q81" s="1953"/>
      <c r="R81" s="1201" t="s">
        <v>0</v>
      </c>
    </row>
    <row r="82" spans="1:18" s="415" customFormat="1" ht="16.5" customHeight="1">
      <c r="A82" s="417"/>
      <c r="B82" s="1205"/>
      <c r="C82" s="1206"/>
      <c r="D82" s="1207"/>
      <c r="E82" s="1207"/>
      <c r="F82" s="1207"/>
      <c r="G82" s="1207"/>
      <c r="H82" s="1207"/>
      <c r="I82" s="1207"/>
      <c r="J82" s="1207"/>
      <c r="K82" s="1207"/>
      <c r="L82" s="1207"/>
      <c r="Q82" s="1208"/>
      <c r="R82" s="416"/>
    </row>
    <row r="83" spans="1:18" ht="20.25" customHeight="1">
      <c r="A83" s="391" t="s">
        <v>811</v>
      </c>
      <c r="B83" s="1209"/>
      <c r="C83" s="1209"/>
      <c r="D83" s="1209"/>
      <c r="E83" s="23"/>
      <c r="F83" s="23"/>
      <c r="G83" s="23"/>
      <c r="L83" s="1210"/>
      <c r="R83" s="1123"/>
    </row>
    <row r="84" spans="1:18" ht="20.25" customHeight="1">
      <c r="A84" s="432" t="s">
        <v>836</v>
      </c>
      <c r="M84" s="404"/>
      <c r="N84" s="404"/>
      <c r="O84" s="404"/>
      <c r="P84" s="404"/>
      <c r="Q84" s="404"/>
      <c r="R84" s="414"/>
    </row>
    <row r="85" spans="1:18" ht="20.25" customHeight="1">
      <c r="A85" s="189" t="s">
        <v>835</v>
      </c>
      <c r="B85" s="23"/>
      <c r="C85" s="23"/>
      <c r="D85" s="23"/>
      <c r="E85" s="23"/>
      <c r="F85" s="23"/>
      <c r="G85" s="23"/>
      <c r="M85" s="404"/>
      <c r="O85" s="404"/>
      <c r="P85" s="404"/>
      <c r="R85" s="414"/>
    </row>
    <row r="86" spans="1:18" ht="19.5" customHeight="1" thickBot="1">
      <c r="A86" s="562" t="s">
        <v>834</v>
      </c>
      <c r="B86" s="413"/>
      <c r="C86" s="413"/>
      <c r="D86" s="413"/>
      <c r="E86" s="413"/>
      <c r="F86" s="413"/>
      <c r="G86" s="413"/>
      <c r="H86" s="413"/>
      <c r="I86" s="413"/>
      <c r="J86" s="413"/>
      <c r="K86" s="413"/>
      <c r="L86" s="412"/>
      <c r="M86" s="411"/>
      <c r="N86" s="411"/>
      <c r="O86" s="1211" t="s">
        <v>833</v>
      </c>
      <c r="P86" s="1211"/>
      <c r="Q86" s="410"/>
      <c r="R86" s="409"/>
    </row>
    <row r="87" spans="1:18" ht="15.75" thickTop="1">
      <c r="A87" s="408"/>
      <c r="L87" s="406"/>
    </row>
  </sheetData>
  <mergeCells count="60">
    <mergeCell ref="A1:R1"/>
    <mergeCell ref="Q2:R2"/>
    <mergeCell ref="A3:A4"/>
    <mergeCell ref="B4:C4"/>
    <mergeCell ref="D4:M4"/>
    <mergeCell ref="Q4:R4"/>
    <mergeCell ref="A5:A8"/>
    <mergeCell ref="B5:B8"/>
    <mergeCell ref="Q5:Q8"/>
    <mergeCell ref="A9:A12"/>
    <mergeCell ref="B9:B12"/>
    <mergeCell ref="Q9:Q12"/>
    <mergeCell ref="A13:A16"/>
    <mergeCell ref="B13:B16"/>
    <mergeCell ref="Q13:Q16"/>
    <mergeCell ref="A17:A20"/>
    <mergeCell ref="B17:B20"/>
    <mergeCell ref="Q17:Q20"/>
    <mergeCell ref="A21:A24"/>
    <mergeCell ref="B21:B24"/>
    <mergeCell ref="Q21:Q24"/>
    <mergeCell ref="A25:A28"/>
    <mergeCell ref="B25:B28"/>
    <mergeCell ref="Q25:Q28"/>
    <mergeCell ref="A29:A32"/>
    <mergeCell ref="B29:B32"/>
    <mergeCell ref="Q29:Q32"/>
    <mergeCell ref="A33:A36"/>
    <mergeCell ref="B33:B36"/>
    <mergeCell ref="Q33:Q36"/>
    <mergeCell ref="A37:A40"/>
    <mergeCell ref="B37:B40"/>
    <mergeCell ref="Q37:Q40"/>
    <mergeCell ref="A41:A44"/>
    <mergeCell ref="B41:B44"/>
    <mergeCell ref="Q41:Q44"/>
    <mergeCell ref="A62:A65"/>
    <mergeCell ref="B62:B65"/>
    <mergeCell ref="Q62:Q65"/>
    <mergeCell ref="A45:A48"/>
    <mergeCell ref="B45:B48"/>
    <mergeCell ref="Q45:Q48"/>
    <mergeCell ref="A49:A52"/>
    <mergeCell ref="B49:B52"/>
    <mergeCell ref="Q49:Q52"/>
    <mergeCell ref="A53:B56"/>
    <mergeCell ref="Q53:Q56"/>
    <mergeCell ref="A58:A61"/>
    <mergeCell ref="B58:B61"/>
    <mergeCell ref="Q58:Q61"/>
    <mergeCell ref="A74:B77"/>
    <mergeCell ref="Q74:Q77"/>
    <mergeCell ref="A78:B81"/>
    <mergeCell ref="Q78:Q81"/>
    <mergeCell ref="A66:A69"/>
    <mergeCell ref="B66:B69"/>
    <mergeCell ref="Q66:Q69"/>
    <mergeCell ref="A70:A73"/>
    <mergeCell ref="B70:B73"/>
    <mergeCell ref="Q70:Q73"/>
  </mergeCells>
  <conditionalFormatting sqref="M45:N74 A75:N81 S57:S81 A4:L74 Q4:R81 M4:P44 O45:P81 T4:XFD81">
    <cfRule type="expression" dxfId="103" priority="1">
      <formula>MOD(ROW(),3)=1</formula>
    </cfRule>
  </conditionalFormatting>
  <printOptions horizontalCentered="1"/>
  <pageMargins left="0.23622047244094491" right="0.23622047244094491" top="0.74803149606299213" bottom="0.74803149606299213" header="0.31496062992125984" footer="0.31496062992125984"/>
  <pageSetup firstPageNumber="90" fitToHeight="0" pageOrder="overThenDown" orientation="landscape" r:id="rId1"/>
  <rowBreaks count="3" manualBreakCount="3">
    <brk id="24" max="17" man="1"/>
    <brk id="44" max="17" man="1"/>
    <brk id="65" max="17" man="1"/>
  </rowBreaks>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S32"/>
  <sheetViews>
    <sheetView view="pageBreakPreview" zoomScaleNormal="100" zoomScaleSheetLayoutView="100" workbookViewId="0">
      <selection activeCell="S17" sqref="S17"/>
    </sheetView>
  </sheetViews>
  <sheetFormatPr defaultRowHeight="15"/>
  <cols>
    <col min="1" max="1" width="9.140625" style="237"/>
    <col min="2" max="2" width="32.5703125" customWidth="1"/>
    <col min="3" max="5" width="13.7109375" customWidth="1"/>
    <col min="6" max="6" width="32.140625" customWidth="1"/>
  </cols>
  <sheetData>
    <row r="1" spans="1:19" ht="21" customHeight="1" thickTop="1">
      <c r="A1" s="2605" t="s">
        <v>2833</v>
      </c>
      <c r="B1" s="2606"/>
      <c r="C1" s="2606"/>
      <c r="D1" s="2606"/>
      <c r="E1" s="2606"/>
      <c r="F1" s="2607"/>
    </row>
    <row r="2" spans="1:19" ht="22.5" customHeight="1">
      <c r="A2" s="2608" t="s">
        <v>2834</v>
      </c>
      <c r="B2" s="2609"/>
      <c r="C2" s="2609"/>
      <c r="D2" s="2609"/>
      <c r="E2" s="2609"/>
      <c r="F2" s="2610"/>
    </row>
    <row r="3" spans="1:19">
      <c r="A3" s="1552"/>
      <c r="B3" s="1553"/>
      <c r="C3" s="1553"/>
      <c r="D3" s="1553"/>
      <c r="E3" s="1553"/>
      <c r="F3" s="1554"/>
      <c r="S3" s="373"/>
    </row>
    <row r="4" spans="1:19">
      <c r="A4" s="236"/>
      <c r="F4" s="144" t="s">
        <v>657</v>
      </c>
    </row>
    <row r="5" spans="1:19" s="124" customFormat="1" ht="120">
      <c r="A5" s="1556" t="s">
        <v>689</v>
      </c>
      <c r="B5" s="265" t="s">
        <v>136</v>
      </c>
      <c r="C5" s="1558" t="s">
        <v>784</v>
      </c>
      <c r="D5" s="265" t="s">
        <v>785</v>
      </c>
      <c r="E5" s="265" t="s">
        <v>786</v>
      </c>
      <c r="F5" s="1557" t="s">
        <v>395</v>
      </c>
    </row>
    <row r="6" spans="1:19">
      <c r="A6" s="220">
        <v>1</v>
      </c>
      <c r="B6" s="12" t="s">
        <v>344</v>
      </c>
      <c r="C6" s="235">
        <v>317708</v>
      </c>
      <c r="D6" s="125">
        <v>45.53</v>
      </c>
      <c r="E6" s="125">
        <v>46</v>
      </c>
      <c r="F6" s="862" t="s">
        <v>79</v>
      </c>
    </row>
    <row r="7" spans="1:19">
      <c r="A7" s="1520">
        <v>2</v>
      </c>
      <c r="B7" s="1521" t="s">
        <v>356</v>
      </c>
      <c r="C7" s="1522"/>
      <c r="D7" s="1523"/>
      <c r="E7" s="1523"/>
      <c r="F7" s="1524" t="s">
        <v>658</v>
      </c>
    </row>
    <row r="8" spans="1:19">
      <c r="A8" s="220"/>
      <c r="B8" s="12" t="str">
        <f>VLOOKUP(F8,'2.61 '!$B$6:$O$41,14,FALSE)</f>
        <v>क) गंगा</v>
      </c>
      <c r="C8" s="235">
        <v>838803</v>
      </c>
      <c r="D8" s="125">
        <v>509.52</v>
      </c>
      <c r="E8" s="125">
        <v>250</v>
      </c>
      <c r="F8" s="862" t="s">
        <v>80</v>
      </c>
    </row>
    <row r="9" spans="1:19">
      <c r="A9" s="220"/>
      <c r="B9" s="12" t="str">
        <f>VLOOKUP(F9,'2.61 '!$B$6:$O$41,14,FALSE)</f>
        <v>b) ब्रह्मपुत्र</v>
      </c>
      <c r="C9" s="235">
        <v>193252</v>
      </c>
      <c r="D9" s="125">
        <v>527.28</v>
      </c>
      <c r="E9" s="125">
        <v>24</v>
      </c>
      <c r="F9" s="862" t="s">
        <v>364</v>
      </c>
    </row>
    <row r="10" spans="1:19">
      <c r="A10" s="1520"/>
      <c r="B10" s="1521" t="str">
        <f>VLOOKUP(F10,'2.61 '!$B$6:$O$41,14,FALSE)</f>
        <v>ग) बराक और अन्य</v>
      </c>
      <c r="C10" s="1522">
        <v>86335</v>
      </c>
      <c r="D10" s="1523">
        <v>86.67</v>
      </c>
      <c r="E10" s="1523"/>
      <c r="F10" s="1524" t="s">
        <v>366</v>
      </c>
    </row>
    <row r="11" spans="1:19">
      <c r="A11" s="220">
        <v>3</v>
      </c>
      <c r="B11" s="12" t="str">
        <f>VLOOKUP(F11,'2.61 '!$B$6:$O$41,14,FALSE)</f>
        <v>गोदावरी</v>
      </c>
      <c r="C11" s="235">
        <v>312150</v>
      </c>
      <c r="D11" s="125">
        <v>117.74</v>
      </c>
      <c r="E11" s="125">
        <v>76.3</v>
      </c>
      <c r="F11" s="862" t="s">
        <v>82</v>
      </c>
    </row>
    <row r="12" spans="1:19">
      <c r="A12" s="220">
        <v>4</v>
      </c>
      <c r="B12" s="12" t="str">
        <f>VLOOKUP(F12,'2.61 '!$B$6:$O$41,14,FALSE)</f>
        <v>कृष्णा</v>
      </c>
      <c r="C12" s="235">
        <v>259439</v>
      </c>
      <c r="D12" s="125">
        <v>89.04</v>
      </c>
      <c r="E12" s="125">
        <v>58</v>
      </c>
      <c r="F12" s="862" t="s">
        <v>83</v>
      </c>
    </row>
    <row r="13" spans="1:19">
      <c r="A13" s="1520">
        <v>5</v>
      </c>
      <c r="B13" s="1521" t="str">
        <f>VLOOKUP(F13,'2.61 '!$B$6:$O$41,14,FALSE)</f>
        <v>कावेरी</v>
      </c>
      <c r="C13" s="1522">
        <v>85167</v>
      </c>
      <c r="D13" s="1523">
        <v>27.67</v>
      </c>
      <c r="E13" s="1523">
        <v>19</v>
      </c>
      <c r="F13" s="1524" t="s">
        <v>84</v>
      </c>
    </row>
    <row r="14" spans="1:19">
      <c r="A14" s="220">
        <v>6</v>
      </c>
      <c r="B14" s="12" t="str">
        <f>VLOOKUP(F14,'2.61 '!$B$6:$O$41,14,FALSE)</f>
        <v>सुवर्णरेखा</v>
      </c>
      <c r="C14" s="235">
        <v>26804</v>
      </c>
      <c r="D14" s="125">
        <v>15.05</v>
      </c>
      <c r="E14" s="125">
        <v>6.8</v>
      </c>
      <c r="F14" s="862" t="s">
        <v>111</v>
      </c>
    </row>
    <row r="15" spans="1:19">
      <c r="A15" s="220">
        <v>7</v>
      </c>
      <c r="B15" s="12" t="str">
        <f>VLOOKUP(F15,'2.61 '!$B$6:$O$41,14,FALSE)</f>
        <v>ब्राह्मणी-बैतरणी</v>
      </c>
      <c r="C15" s="235">
        <v>53902</v>
      </c>
      <c r="D15" s="125">
        <v>35.65</v>
      </c>
      <c r="E15" s="125">
        <v>18.3</v>
      </c>
      <c r="F15" s="862" t="s">
        <v>368</v>
      </c>
    </row>
    <row r="16" spans="1:19">
      <c r="A16" s="1520">
        <v>8</v>
      </c>
      <c r="B16" s="1521" t="str">
        <f>VLOOKUP(F16,'2.61 '!$B$6:$O$41,14,FALSE)</f>
        <v>महानदी</v>
      </c>
      <c r="C16" s="1522">
        <v>144905</v>
      </c>
      <c r="D16" s="1523">
        <v>73</v>
      </c>
      <c r="E16" s="1523">
        <v>50</v>
      </c>
      <c r="F16" s="1524" t="s">
        <v>88</v>
      </c>
    </row>
    <row r="17" spans="1:6">
      <c r="A17" s="220">
        <v>9</v>
      </c>
      <c r="B17" s="12" t="str">
        <f>VLOOKUP(F17,'2.61 '!$B$6:$O$41,14,FALSE)</f>
        <v>पेन्नार</v>
      </c>
      <c r="C17" s="235">
        <v>54905</v>
      </c>
      <c r="D17" s="125">
        <v>11.02</v>
      </c>
      <c r="E17" s="125">
        <v>6.9</v>
      </c>
      <c r="F17" s="862" t="s">
        <v>85</v>
      </c>
    </row>
    <row r="18" spans="1:6">
      <c r="A18" s="220">
        <v>10</v>
      </c>
      <c r="B18" s="12" t="str">
        <f>VLOOKUP(F18,'2.61 '!$B$6:$O$41,14,FALSE)</f>
        <v>माही</v>
      </c>
      <c r="C18" s="235">
        <v>39566</v>
      </c>
      <c r="D18" s="125">
        <v>14.96</v>
      </c>
      <c r="E18" s="125">
        <v>3.1</v>
      </c>
      <c r="F18" s="862" t="s">
        <v>92</v>
      </c>
    </row>
    <row r="19" spans="1:6">
      <c r="A19" s="1520">
        <v>11</v>
      </c>
      <c r="B19" s="1521" t="str">
        <f>VLOOKUP(F19,'2.61 '!$B$6:$O$41,14,FALSE)</f>
        <v>साबरमती</v>
      </c>
      <c r="C19" s="1522">
        <v>31901</v>
      </c>
      <c r="D19" s="1523">
        <v>12.96</v>
      </c>
      <c r="E19" s="1523">
        <v>1.9</v>
      </c>
      <c r="F19" s="1524" t="s">
        <v>91</v>
      </c>
    </row>
    <row r="20" spans="1:6">
      <c r="A20" s="220">
        <v>12</v>
      </c>
      <c r="B20" s="12" t="str">
        <f>VLOOKUP(F20,'2.61 '!$B$6:$O$41,14,FALSE)</f>
        <v>नर्मदा</v>
      </c>
      <c r="C20" s="235">
        <v>96659.79</v>
      </c>
      <c r="D20" s="125">
        <v>58.21</v>
      </c>
      <c r="E20" s="125">
        <v>34.5</v>
      </c>
      <c r="F20" s="862" t="s">
        <v>94</v>
      </c>
    </row>
    <row r="21" spans="1:6">
      <c r="A21" s="220">
        <v>13</v>
      </c>
      <c r="B21" s="12" t="str">
        <f>VLOOKUP(F21,'2.61 '!$B$6:$O$41,14,FALSE)</f>
        <v>तापी</v>
      </c>
      <c r="C21" s="235">
        <v>65805.8</v>
      </c>
      <c r="D21" s="125">
        <v>26.24</v>
      </c>
      <c r="E21" s="125">
        <v>14.5</v>
      </c>
      <c r="F21" s="862" t="s">
        <v>95</v>
      </c>
    </row>
    <row r="22" spans="1:6" ht="30">
      <c r="A22" s="1520">
        <v>14</v>
      </c>
      <c r="B22" s="1521" t="s">
        <v>376</v>
      </c>
      <c r="C22" s="1522">
        <v>58360</v>
      </c>
      <c r="D22" s="1523">
        <v>118.35</v>
      </c>
      <c r="E22" s="1523">
        <v>11.9</v>
      </c>
      <c r="F22" s="1524" t="s">
        <v>659</v>
      </c>
    </row>
    <row r="23" spans="1:6" ht="30">
      <c r="A23" s="220">
        <v>15</v>
      </c>
      <c r="B23" s="12" t="s">
        <v>378</v>
      </c>
      <c r="C23" s="235">
        <v>54231</v>
      </c>
      <c r="D23" s="125">
        <v>119.06</v>
      </c>
      <c r="E23" s="125">
        <v>24.3</v>
      </c>
      <c r="F23" s="862" t="s">
        <v>660</v>
      </c>
    </row>
    <row r="24" spans="1:6" ht="30">
      <c r="A24" s="220">
        <v>16</v>
      </c>
      <c r="B24" s="12" t="s">
        <v>380</v>
      </c>
      <c r="C24" s="235">
        <v>82073</v>
      </c>
      <c r="D24" s="125">
        <v>26.41</v>
      </c>
      <c r="E24" s="125">
        <v>13.1</v>
      </c>
      <c r="F24" s="862" t="s">
        <v>661</v>
      </c>
    </row>
    <row r="25" spans="1:6" ht="30">
      <c r="A25" s="1520">
        <v>17</v>
      </c>
      <c r="B25" s="1521" t="s">
        <v>382</v>
      </c>
      <c r="C25" s="1522">
        <v>101657</v>
      </c>
      <c r="D25" s="1523">
        <v>26.74</v>
      </c>
      <c r="E25" s="1523">
        <v>16.5</v>
      </c>
      <c r="F25" s="1524" t="s">
        <v>662</v>
      </c>
    </row>
    <row r="26" spans="1:6" ht="30">
      <c r="A26" s="220">
        <v>18</v>
      </c>
      <c r="B26" s="12" t="s">
        <v>384</v>
      </c>
      <c r="C26" s="235">
        <v>192112</v>
      </c>
      <c r="D26" s="125">
        <v>26.93</v>
      </c>
      <c r="E26" s="125">
        <v>15</v>
      </c>
      <c r="F26" s="862" t="s">
        <v>663</v>
      </c>
    </row>
    <row r="27" spans="1:6" ht="30">
      <c r="A27" s="220">
        <v>19</v>
      </c>
      <c r="B27" s="12" t="s">
        <v>667</v>
      </c>
      <c r="C27" s="235">
        <v>144835.9</v>
      </c>
      <c r="D27" s="127" t="s">
        <v>99</v>
      </c>
      <c r="E27" s="125"/>
      <c r="F27" s="862" t="s">
        <v>664</v>
      </c>
    </row>
    <row r="28" spans="1:6" ht="30">
      <c r="A28" s="1520">
        <v>20</v>
      </c>
      <c r="B28" s="1521" t="s">
        <v>394</v>
      </c>
      <c r="C28" s="1522">
        <v>31382</v>
      </c>
      <c r="D28" s="1523">
        <v>31.17</v>
      </c>
      <c r="E28" s="1523"/>
      <c r="F28" s="1524" t="s">
        <v>665</v>
      </c>
    </row>
    <row r="29" spans="1:6">
      <c r="A29" s="1979" t="s">
        <v>0</v>
      </c>
      <c r="B29" s="2572"/>
      <c r="C29" s="264">
        <v>3271953</v>
      </c>
      <c r="D29" s="126">
        <v>1999.2</v>
      </c>
      <c r="E29" s="126">
        <v>690.1</v>
      </c>
      <c r="F29" s="919" t="s">
        <v>143</v>
      </c>
    </row>
    <row r="30" spans="1:6" ht="61.5" customHeight="1">
      <c r="A30" s="2268" t="s">
        <v>787</v>
      </c>
      <c r="B30" s="2269"/>
      <c r="C30" s="2269"/>
      <c r="D30" s="2269"/>
      <c r="E30" s="2269"/>
      <c r="F30" s="2270"/>
    </row>
    <row r="31" spans="1:6" ht="28.5" customHeight="1" thickBot="1">
      <c r="A31" s="2611" t="s">
        <v>805</v>
      </c>
      <c r="B31" s="2612"/>
      <c r="C31" s="2612"/>
      <c r="D31" s="2612"/>
      <c r="E31" s="2612"/>
      <c r="F31" s="2613"/>
    </row>
    <row r="32" spans="1:6" ht="15.75" thickTop="1"/>
  </sheetData>
  <mergeCells count="5">
    <mergeCell ref="A29:B29"/>
    <mergeCell ref="A1:F1"/>
    <mergeCell ref="A2:F2"/>
    <mergeCell ref="A30:F30"/>
    <mergeCell ref="A31:F31"/>
  </mergeCells>
  <conditionalFormatting sqref="A6:F29">
    <cfRule type="expression" dxfId="2" priority="1">
      <formula>MOD(ROW(),3)=1</formula>
    </cfRule>
  </conditionalFormatting>
  <pageMargins left="0.7" right="0.7" top="0.75" bottom="0.75" header="0.3" footer="0.3"/>
  <pageSetup scale="78" orientation="portrait" r:id="rId1"/>
  <colBreaks count="1" manualBreakCount="1">
    <brk id="6" max="30"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S173"/>
  <sheetViews>
    <sheetView view="pageBreakPreview" zoomScaleSheetLayoutView="100" workbookViewId="0">
      <selection activeCell="S17" sqref="S17"/>
    </sheetView>
  </sheetViews>
  <sheetFormatPr defaultColWidth="9.140625" defaultRowHeight="15"/>
  <cols>
    <col min="1" max="1" width="6.28515625" customWidth="1"/>
    <col min="2" max="2" width="28.85546875" customWidth="1"/>
    <col min="3" max="3" width="31.5703125" customWidth="1"/>
    <col min="4" max="4" width="30.7109375" customWidth="1"/>
  </cols>
  <sheetData>
    <row r="1" spans="1:19" s="9" customFormat="1" ht="20.100000000000001" customHeight="1" thickTop="1">
      <c r="A1" s="2605" t="s">
        <v>2835</v>
      </c>
      <c r="B1" s="2606"/>
      <c r="C1" s="2606"/>
      <c r="D1" s="2607"/>
    </row>
    <row r="2" spans="1:19" s="9" customFormat="1" ht="20.100000000000001" customHeight="1">
      <c r="A2" s="2608" t="s">
        <v>2836</v>
      </c>
      <c r="B2" s="2609"/>
      <c r="C2" s="2609"/>
      <c r="D2" s="2610"/>
    </row>
    <row r="3" spans="1:19" s="9" customFormat="1" ht="12" customHeight="1">
      <c r="A3" s="136"/>
      <c r="B3" s="1497"/>
      <c r="D3" s="137"/>
      <c r="S3" s="372">
        <v>2.5</v>
      </c>
    </row>
    <row r="4" spans="1:19" s="9" customFormat="1" ht="70.5" customHeight="1">
      <c r="A4" s="2623" t="s">
        <v>400</v>
      </c>
      <c r="B4" s="2624"/>
      <c r="C4" s="2624"/>
      <c r="D4" s="2625"/>
    </row>
    <row r="5" spans="1:19" s="9" customFormat="1" ht="12" customHeight="1">
      <c r="A5" s="1169"/>
      <c r="B5" s="1498"/>
      <c r="C5" s="1498"/>
      <c r="D5" s="1170"/>
    </row>
    <row r="6" spans="1:19" s="82" customFormat="1" ht="20.100000000000001" customHeight="1">
      <c r="A6" s="2626" t="s">
        <v>401</v>
      </c>
      <c r="B6" s="2627"/>
      <c r="C6" s="2627"/>
      <c r="D6" s="2628"/>
      <c r="E6"/>
      <c r="F6"/>
      <c r="G6"/>
      <c r="H6"/>
      <c r="I6"/>
      <c r="J6"/>
      <c r="K6"/>
      <c r="L6"/>
      <c r="M6"/>
      <c r="N6"/>
      <c r="O6"/>
      <c r="P6"/>
      <c r="Q6"/>
    </row>
    <row r="7" spans="1:19" ht="12" customHeight="1">
      <c r="A7" s="1171"/>
      <c r="B7" s="1499"/>
      <c r="C7" s="1499"/>
      <c r="D7" s="1172"/>
    </row>
    <row r="8" spans="1:19" ht="41.25" customHeight="1">
      <c r="A8" s="2617" t="s">
        <v>402</v>
      </c>
      <c r="B8" s="2618"/>
      <c r="C8" s="2618"/>
      <c r="D8" s="2619"/>
    </row>
    <row r="9" spans="1:19" ht="18" customHeight="1">
      <c r="A9" s="138"/>
      <c r="B9" s="1515" t="s">
        <v>403</v>
      </c>
      <c r="C9" s="1515" t="s">
        <v>404</v>
      </c>
      <c r="D9" s="1516" t="s">
        <v>405</v>
      </c>
    </row>
    <row r="10" spans="1:19" ht="18" customHeight="1">
      <c r="A10" s="138"/>
      <c r="B10" s="76" t="s">
        <v>406</v>
      </c>
      <c r="C10" s="77">
        <v>0.5</v>
      </c>
      <c r="D10" s="139">
        <v>0.5</v>
      </c>
    </row>
    <row r="11" spans="1:19" ht="18" customHeight="1">
      <c r="A11" s="138"/>
      <c r="B11" s="76" t="s">
        <v>407</v>
      </c>
      <c r="C11" s="78" t="s">
        <v>408</v>
      </c>
      <c r="D11" s="140" t="s">
        <v>409</v>
      </c>
    </row>
    <row r="12" spans="1:19" ht="18" customHeight="1">
      <c r="A12" s="138"/>
      <c r="B12" s="76" t="s">
        <v>410</v>
      </c>
      <c r="C12" s="78" t="s">
        <v>411</v>
      </c>
      <c r="D12" s="140" t="s">
        <v>408</v>
      </c>
    </row>
    <row r="13" spans="1:19" ht="12" customHeight="1">
      <c r="A13" s="138"/>
      <c r="B13" s="1500"/>
      <c r="C13" s="1501"/>
      <c r="D13" s="141"/>
    </row>
    <row r="14" spans="1:19" ht="54" customHeight="1">
      <c r="A14" s="2617" t="s">
        <v>412</v>
      </c>
      <c r="B14" s="2618"/>
      <c r="C14" s="2618"/>
      <c r="D14" s="2619"/>
    </row>
    <row r="15" spans="1:19" ht="12" customHeight="1">
      <c r="A15" s="1167"/>
      <c r="B15" s="1502"/>
      <c r="C15" s="1502"/>
      <c r="D15" s="1168"/>
    </row>
    <row r="16" spans="1:19" ht="48.75" customHeight="1">
      <c r="A16" s="2617" t="s">
        <v>413</v>
      </c>
      <c r="B16" s="2618"/>
      <c r="C16" s="2618"/>
      <c r="D16" s="2619"/>
    </row>
    <row r="17" spans="1:4" ht="54.75" customHeight="1" thickBot="1">
      <c r="A17" s="2617" t="s">
        <v>414</v>
      </c>
      <c r="B17" s="2618"/>
      <c r="C17" s="2618"/>
      <c r="D17" s="2619"/>
    </row>
    <row r="18" spans="1:4" ht="16.5" customHeight="1" thickBot="1">
      <c r="A18" s="1517" t="s">
        <v>40</v>
      </c>
      <c r="B18" s="1518" t="s">
        <v>415</v>
      </c>
      <c r="C18" s="1518" t="s">
        <v>416</v>
      </c>
      <c r="D18" s="1519" t="s">
        <v>417</v>
      </c>
    </row>
    <row r="19" spans="1:4" ht="33" customHeight="1" thickBot="1">
      <c r="A19" s="1731">
        <v>1</v>
      </c>
      <c r="B19" s="1732" t="s">
        <v>418</v>
      </c>
      <c r="C19" s="1733" t="s">
        <v>419</v>
      </c>
      <c r="D19" s="2629" t="s">
        <v>420</v>
      </c>
    </row>
    <row r="20" spans="1:4" ht="32.25" customHeight="1" thickBot="1">
      <c r="A20" s="1734"/>
      <c r="B20" s="1735"/>
      <c r="C20" s="1733" t="s">
        <v>421</v>
      </c>
      <c r="D20" s="2630"/>
    </row>
    <row r="21" spans="1:4" ht="33" customHeight="1" thickBot="1">
      <c r="A21" s="1736"/>
      <c r="B21" s="1737"/>
      <c r="C21" s="1733" t="s">
        <v>422</v>
      </c>
      <c r="D21" s="2631"/>
    </row>
    <row r="22" spans="1:4" ht="33" customHeight="1" thickBot="1">
      <c r="A22" s="1731">
        <v>2</v>
      </c>
      <c r="B22" s="1732" t="s">
        <v>423</v>
      </c>
      <c r="C22" s="1733" t="s">
        <v>424</v>
      </c>
      <c r="D22" s="2629" t="s">
        <v>420</v>
      </c>
    </row>
    <row r="23" spans="1:4" ht="33" customHeight="1" thickBot="1">
      <c r="A23" s="1734"/>
      <c r="B23" s="1735"/>
      <c r="C23" s="1733" t="s">
        <v>425</v>
      </c>
      <c r="D23" s="2630"/>
    </row>
    <row r="24" spans="1:4" ht="33" customHeight="1" thickBot="1">
      <c r="A24" s="1736"/>
      <c r="B24" s="1737"/>
      <c r="C24" s="1733" t="s">
        <v>426</v>
      </c>
      <c r="D24" s="2631"/>
    </row>
    <row r="25" spans="1:4" ht="12" customHeight="1">
      <c r="A25" s="142"/>
      <c r="B25" s="1503"/>
      <c r="C25" s="1504"/>
      <c r="D25" s="143"/>
    </row>
    <row r="26" spans="1:4" ht="30" customHeight="1">
      <c r="A26" s="2614" t="s">
        <v>427</v>
      </c>
      <c r="B26" s="2615"/>
      <c r="C26" s="2615"/>
      <c r="D26" s="2616"/>
    </row>
    <row r="27" spans="1:4" ht="74.25" customHeight="1">
      <c r="A27" s="2617" t="s">
        <v>428</v>
      </c>
      <c r="B27" s="2618"/>
      <c r="C27" s="2618"/>
      <c r="D27" s="2619"/>
    </row>
    <row r="28" spans="1:4" ht="47.25" customHeight="1" thickBot="1">
      <c r="A28" s="2620" t="s">
        <v>429</v>
      </c>
      <c r="B28" s="2621"/>
      <c r="C28" s="2621"/>
      <c r="D28" s="2622"/>
    </row>
    <row r="29" spans="1:4" ht="15.75" thickTop="1"/>
    <row r="173" spans="7:7">
      <c r="G173" s="1"/>
    </row>
  </sheetData>
  <mergeCells count="13">
    <mergeCell ref="A1:D1"/>
    <mergeCell ref="A26:D26"/>
    <mergeCell ref="A27:D27"/>
    <mergeCell ref="A28:D28"/>
    <mergeCell ref="A4:D4"/>
    <mergeCell ref="A6:D6"/>
    <mergeCell ref="A8:D8"/>
    <mergeCell ref="A14:D14"/>
    <mergeCell ref="A16:D16"/>
    <mergeCell ref="A17:D17"/>
    <mergeCell ref="D19:D21"/>
    <mergeCell ref="D22:D24"/>
    <mergeCell ref="A2:D2"/>
  </mergeCells>
  <conditionalFormatting sqref="B10:D12">
    <cfRule type="expression" dxfId="1" priority="2">
      <formula>MOD(ROW(),3)=1</formula>
    </cfRule>
  </conditionalFormatting>
  <conditionalFormatting sqref="A19:D24">
    <cfRule type="expression" dxfId="0" priority="1">
      <formula>MOD(ROW(),3)=1</formula>
    </cfRule>
  </conditionalFormatting>
  <printOptions horizontalCentered="1" verticalCentered="1"/>
  <pageMargins left="3.937007874015748E-2" right="3.937007874015748E-2" top="3.937007874015748E-2" bottom="0" header="0" footer="0"/>
  <pageSetup paperSize="9" scale="8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E78EF-6357-4D5C-8781-680B4A2866DC}">
  <sheetPr>
    <pageSetUpPr fitToPage="1"/>
  </sheetPr>
  <dimension ref="A1:V44"/>
  <sheetViews>
    <sheetView view="pageBreakPreview" zoomScaleSheetLayoutView="100" workbookViewId="0">
      <selection activeCell="S17" sqref="S17"/>
    </sheetView>
  </sheetViews>
  <sheetFormatPr defaultRowHeight="14.25"/>
  <cols>
    <col min="1" max="1" width="14.5703125" style="435" customWidth="1"/>
    <col min="2" max="2" width="13.7109375" style="433" customWidth="1"/>
    <col min="3" max="3" width="8.28515625" style="433" hidden="1" customWidth="1"/>
    <col min="4" max="6" width="9.140625" style="433" hidden="1" customWidth="1"/>
    <col min="7" max="7" width="14.42578125" style="433" hidden="1" customWidth="1"/>
    <col min="8" max="9" width="5.140625" style="433" hidden="1" customWidth="1"/>
    <col min="10" max="14" width="13.85546875" style="433" hidden="1" customWidth="1"/>
    <col min="15" max="21" width="13.85546875" style="433" customWidth="1"/>
    <col min="22" max="22" width="16.140625" style="434" customWidth="1"/>
    <col min="23" max="252" width="9.140625" style="433"/>
    <col min="253" max="253" width="12" style="433" customWidth="1"/>
    <col min="254" max="254" width="10.140625" style="433" customWidth="1"/>
    <col min="255" max="261" width="0" style="433" hidden="1" customWidth="1"/>
    <col min="262" max="269" width="10.42578125" style="433" customWidth="1"/>
    <col min="270" max="270" width="11.28515625" style="433" customWidth="1"/>
    <col min="271" max="271" width="11.42578125" style="433" customWidth="1"/>
    <col min="272" max="508" width="9.140625" style="433"/>
    <col min="509" max="509" width="12" style="433" customWidth="1"/>
    <col min="510" max="510" width="10.140625" style="433" customWidth="1"/>
    <col min="511" max="517" width="0" style="433" hidden="1" customWidth="1"/>
    <col min="518" max="525" width="10.42578125" style="433" customWidth="1"/>
    <col min="526" max="526" width="11.28515625" style="433" customWidth="1"/>
    <col min="527" max="527" width="11.42578125" style="433" customWidth="1"/>
    <col min="528" max="764" width="9.140625" style="433"/>
    <col min="765" max="765" width="12" style="433" customWidth="1"/>
    <col min="766" max="766" width="10.140625" style="433" customWidth="1"/>
    <col min="767" max="773" width="0" style="433" hidden="1" customWidth="1"/>
    <col min="774" max="781" width="10.42578125" style="433" customWidth="1"/>
    <col min="782" max="782" width="11.28515625" style="433" customWidth="1"/>
    <col min="783" max="783" width="11.42578125" style="433" customWidth="1"/>
    <col min="784" max="1020" width="9.140625" style="433"/>
    <col min="1021" max="1021" width="12" style="433" customWidth="1"/>
    <col min="1022" max="1022" width="10.140625" style="433" customWidth="1"/>
    <col min="1023" max="1029" width="0" style="433" hidden="1" customWidth="1"/>
    <col min="1030" max="1037" width="10.42578125" style="433" customWidth="1"/>
    <col min="1038" max="1038" width="11.28515625" style="433" customWidth="1"/>
    <col min="1039" max="1039" width="11.42578125" style="433" customWidth="1"/>
    <col min="1040" max="1276" width="9.140625" style="433"/>
    <col min="1277" max="1277" width="12" style="433" customWidth="1"/>
    <col min="1278" max="1278" width="10.140625" style="433" customWidth="1"/>
    <col min="1279" max="1285" width="0" style="433" hidden="1" customWidth="1"/>
    <col min="1286" max="1293" width="10.42578125" style="433" customWidth="1"/>
    <col min="1294" max="1294" width="11.28515625" style="433" customWidth="1"/>
    <col min="1295" max="1295" width="11.42578125" style="433" customWidth="1"/>
    <col min="1296" max="1532" width="9.140625" style="433"/>
    <col min="1533" max="1533" width="12" style="433" customWidth="1"/>
    <col min="1534" max="1534" width="10.140625" style="433" customWidth="1"/>
    <col min="1535" max="1541" width="0" style="433" hidden="1" customWidth="1"/>
    <col min="1542" max="1549" width="10.42578125" style="433" customWidth="1"/>
    <col min="1550" max="1550" width="11.28515625" style="433" customWidth="1"/>
    <col min="1551" max="1551" width="11.42578125" style="433" customWidth="1"/>
    <col min="1552" max="1788" width="9.140625" style="433"/>
    <col min="1789" max="1789" width="12" style="433" customWidth="1"/>
    <col min="1790" max="1790" width="10.140625" style="433" customWidth="1"/>
    <col min="1791" max="1797" width="0" style="433" hidden="1" customWidth="1"/>
    <col min="1798" max="1805" width="10.42578125" style="433" customWidth="1"/>
    <col min="1806" max="1806" width="11.28515625" style="433" customWidth="1"/>
    <col min="1807" max="1807" width="11.42578125" style="433" customWidth="1"/>
    <col min="1808" max="2044" width="9.140625" style="433"/>
    <col min="2045" max="2045" width="12" style="433" customWidth="1"/>
    <col min="2046" max="2046" width="10.140625" style="433" customWidth="1"/>
    <col min="2047" max="2053" width="0" style="433" hidden="1" customWidth="1"/>
    <col min="2054" max="2061" width="10.42578125" style="433" customWidth="1"/>
    <col min="2062" max="2062" width="11.28515625" style="433" customWidth="1"/>
    <col min="2063" max="2063" width="11.42578125" style="433" customWidth="1"/>
    <col min="2064" max="2300" width="9.140625" style="433"/>
    <col min="2301" max="2301" width="12" style="433" customWidth="1"/>
    <col min="2302" max="2302" width="10.140625" style="433" customWidth="1"/>
    <col min="2303" max="2309" width="0" style="433" hidden="1" customWidth="1"/>
    <col min="2310" max="2317" width="10.42578125" style="433" customWidth="1"/>
    <col min="2318" max="2318" width="11.28515625" style="433" customWidth="1"/>
    <col min="2319" max="2319" width="11.42578125" style="433" customWidth="1"/>
    <col min="2320" max="2556" width="9.140625" style="433"/>
    <col min="2557" max="2557" width="12" style="433" customWidth="1"/>
    <col min="2558" max="2558" width="10.140625" style="433" customWidth="1"/>
    <col min="2559" max="2565" width="0" style="433" hidden="1" customWidth="1"/>
    <col min="2566" max="2573" width="10.42578125" style="433" customWidth="1"/>
    <col min="2574" max="2574" width="11.28515625" style="433" customWidth="1"/>
    <col min="2575" max="2575" width="11.42578125" style="433" customWidth="1"/>
    <col min="2576" max="2812" width="9.140625" style="433"/>
    <col min="2813" max="2813" width="12" style="433" customWidth="1"/>
    <col min="2814" max="2814" width="10.140625" style="433" customWidth="1"/>
    <col min="2815" max="2821" width="0" style="433" hidden="1" customWidth="1"/>
    <col min="2822" max="2829" width="10.42578125" style="433" customWidth="1"/>
    <col min="2830" max="2830" width="11.28515625" style="433" customWidth="1"/>
    <col min="2831" max="2831" width="11.42578125" style="433" customWidth="1"/>
    <col min="2832" max="3068" width="9.140625" style="433"/>
    <col min="3069" max="3069" width="12" style="433" customWidth="1"/>
    <col min="3070" max="3070" width="10.140625" style="433" customWidth="1"/>
    <col min="3071" max="3077" width="0" style="433" hidden="1" customWidth="1"/>
    <col min="3078" max="3085" width="10.42578125" style="433" customWidth="1"/>
    <col min="3086" max="3086" width="11.28515625" style="433" customWidth="1"/>
    <col min="3087" max="3087" width="11.42578125" style="433" customWidth="1"/>
    <col min="3088" max="3324" width="9.140625" style="433"/>
    <col min="3325" max="3325" width="12" style="433" customWidth="1"/>
    <col min="3326" max="3326" width="10.140625" style="433" customWidth="1"/>
    <col min="3327" max="3333" width="0" style="433" hidden="1" customWidth="1"/>
    <col min="3334" max="3341" width="10.42578125" style="433" customWidth="1"/>
    <col min="3342" max="3342" width="11.28515625" style="433" customWidth="1"/>
    <col min="3343" max="3343" width="11.42578125" style="433" customWidth="1"/>
    <col min="3344" max="3580" width="9.140625" style="433"/>
    <col min="3581" max="3581" width="12" style="433" customWidth="1"/>
    <col min="3582" max="3582" width="10.140625" style="433" customWidth="1"/>
    <col min="3583" max="3589" width="0" style="433" hidden="1" customWidth="1"/>
    <col min="3590" max="3597" width="10.42578125" style="433" customWidth="1"/>
    <col min="3598" max="3598" width="11.28515625" style="433" customWidth="1"/>
    <col min="3599" max="3599" width="11.42578125" style="433" customWidth="1"/>
    <col min="3600" max="3836" width="9.140625" style="433"/>
    <col min="3837" max="3837" width="12" style="433" customWidth="1"/>
    <col min="3838" max="3838" width="10.140625" style="433" customWidth="1"/>
    <col min="3839" max="3845" width="0" style="433" hidden="1" customWidth="1"/>
    <col min="3846" max="3853" width="10.42578125" style="433" customWidth="1"/>
    <col min="3854" max="3854" width="11.28515625" style="433" customWidth="1"/>
    <col min="3855" max="3855" width="11.42578125" style="433" customWidth="1"/>
    <col min="3856" max="4092" width="9.140625" style="433"/>
    <col min="4093" max="4093" width="12" style="433" customWidth="1"/>
    <col min="4094" max="4094" width="10.140625" style="433" customWidth="1"/>
    <col min="4095" max="4101" width="0" style="433" hidden="1" customWidth="1"/>
    <col min="4102" max="4109" width="10.42578125" style="433" customWidth="1"/>
    <col min="4110" max="4110" width="11.28515625" style="433" customWidth="1"/>
    <col min="4111" max="4111" width="11.42578125" style="433" customWidth="1"/>
    <col min="4112" max="4348" width="9.140625" style="433"/>
    <col min="4349" max="4349" width="12" style="433" customWidth="1"/>
    <col min="4350" max="4350" width="10.140625" style="433" customWidth="1"/>
    <col min="4351" max="4357" width="0" style="433" hidden="1" customWidth="1"/>
    <col min="4358" max="4365" width="10.42578125" style="433" customWidth="1"/>
    <col min="4366" max="4366" width="11.28515625" style="433" customWidth="1"/>
    <col min="4367" max="4367" width="11.42578125" style="433" customWidth="1"/>
    <col min="4368" max="4604" width="9.140625" style="433"/>
    <col min="4605" max="4605" width="12" style="433" customWidth="1"/>
    <col min="4606" max="4606" width="10.140625" style="433" customWidth="1"/>
    <col min="4607" max="4613" width="0" style="433" hidden="1" customWidth="1"/>
    <col min="4614" max="4621" width="10.42578125" style="433" customWidth="1"/>
    <col min="4622" max="4622" width="11.28515625" style="433" customWidth="1"/>
    <col min="4623" max="4623" width="11.42578125" style="433" customWidth="1"/>
    <col min="4624" max="4860" width="9.140625" style="433"/>
    <col min="4861" max="4861" width="12" style="433" customWidth="1"/>
    <col min="4862" max="4862" width="10.140625" style="433" customWidth="1"/>
    <col min="4863" max="4869" width="0" style="433" hidden="1" customWidth="1"/>
    <col min="4870" max="4877" width="10.42578125" style="433" customWidth="1"/>
    <col min="4878" max="4878" width="11.28515625" style="433" customWidth="1"/>
    <col min="4879" max="4879" width="11.42578125" style="433" customWidth="1"/>
    <col min="4880" max="5116" width="9.140625" style="433"/>
    <col min="5117" max="5117" width="12" style="433" customWidth="1"/>
    <col min="5118" max="5118" width="10.140625" style="433" customWidth="1"/>
    <col min="5119" max="5125" width="0" style="433" hidden="1" customWidth="1"/>
    <col min="5126" max="5133" width="10.42578125" style="433" customWidth="1"/>
    <col min="5134" max="5134" width="11.28515625" style="433" customWidth="1"/>
    <col min="5135" max="5135" width="11.42578125" style="433" customWidth="1"/>
    <col min="5136" max="5372" width="9.140625" style="433"/>
    <col min="5373" max="5373" width="12" style="433" customWidth="1"/>
    <col min="5374" max="5374" width="10.140625" style="433" customWidth="1"/>
    <col min="5375" max="5381" width="0" style="433" hidden="1" customWidth="1"/>
    <col min="5382" max="5389" width="10.42578125" style="433" customWidth="1"/>
    <col min="5390" max="5390" width="11.28515625" style="433" customWidth="1"/>
    <col min="5391" max="5391" width="11.42578125" style="433" customWidth="1"/>
    <col min="5392" max="5628" width="9.140625" style="433"/>
    <col min="5629" max="5629" width="12" style="433" customWidth="1"/>
    <col min="5630" max="5630" width="10.140625" style="433" customWidth="1"/>
    <col min="5631" max="5637" width="0" style="433" hidden="1" customWidth="1"/>
    <col min="5638" max="5645" width="10.42578125" style="433" customWidth="1"/>
    <col min="5646" max="5646" width="11.28515625" style="433" customWidth="1"/>
    <col min="5647" max="5647" width="11.42578125" style="433" customWidth="1"/>
    <col min="5648" max="5884" width="9.140625" style="433"/>
    <col min="5885" max="5885" width="12" style="433" customWidth="1"/>
    <col min="5886" max="5886" width="10.140625" style="433" customWidth="1"/>
    <col min="5887" max="5893" width="0" style="433" hidden="1" customWidth="1"/>
    <col min="5894" max="5901" width="10.42578125" style="433" customWidth="1"/>
    <col min="5902" max="5902" width="11.28515625" style="433" customWidth="1"/>
    <col min="5903" max="5903" width="11.42578125" style="433" customWidth="1"/>
    <col min="5904" max="6140" width="9.140625" style="433"/>
    <col min="6141" max="6141" width="12" style="433" customWidth="1"/>
    <col min="6142" max="6142" width="10.140625" style="433" customWidth="1"/>
    <col min="6143" max="6149" width="0" style="433" hidden="1" customWidth="1"/>
    <col min="6150" max="6157" width="10.42578125" style="433" customWidth="1"/>
    <col min="6158" max="6158" width="11.28515625" style="433" customWidth="1"/>
    <col min="6159" max="6159" width="11.42578125" style="433" customWidth="1"/>
    <col min="6160" max="6396" width="9.140625" style="433"/>
    <col min="6397" max="6397" width="12" style="433" customWidth="1"/>
    <col min="6398" max="6398" width="10.140625" style="433" customWidth="1"/>
    <col min="6399" max="6405" width="0" style="433" hidden="1" customWidth="1"/>
    <col min="6406" max="6413" width="10.42578125" style="433" customWidth="1"/>
    <col min="6414" max="6414" width="11.28515625" style="433" customWidth="1"/>
    <col min="6415" max="6415" width="11.42578125" style="433" customWidth="1"/>
    <col min="6416" max="6652" width="9.140625" style="433"/>
    <col min="6653" max="6653" width="12" style="433" customWidth="1"/>
    <col min="6654" max="6654" width="10.140625" style="433" customWidth="1"/>
    <col min="6655" max="6661" width="0" style="433" hidden="1" customWidth="1"/>
    <col min="6662" max="6669" width="10.42578125" style="433" customWidth="1"/>
    <col min="6670" max="6670" width="11.28515625" style="433" customWidth="1"/>
    <col min="6671" max="6671" width="11.42578125" style="433" customWidth="1"/>
    <col min="6672" max="6908" width="9.140625" style="433"/>
    <col min="6909" max="6909" width="12" style="433" customWidth="1"/>
    <col min="6910" max="6910" width="10.140625" style="433" customWidth="1"/>
    <col min="6911" max="6917" width="0" style="433" hidden="1" customWidth="1"/>
    <col min="6918" max="6925" width="10.42578125" style="433" customWidth="1"/>
    <col min="6926" max="6926" width="11.28515625" style="433" customWidth="1"/>
    <col min="6927" max="6927" width="11.42578125" style="433" customWidth="1"/>
    <col min="6928" max="7164" width="9.140625" style="433"/>
    <col min="7165" max="7165" width="12" style="433" customWidth="1"/>
    <col min="7166" max="7166" width="10.140625" style="433" customWidth="1"/>
    <col min="7167" max="7173" width="0" style="433" hidden="1" customWidth="1"/>
    <col min="7174" max="7181" width="10.42578125" style="433" customWidth="1"/>
    <col min="7182" max="7182" width="11.28515625" style="433" customWidth="1"/>
    <col min="7183" max="7183" width="11.42578125" style="433" customWidth="1"/>
    <col min="7184" max="7420" width="9.140625" style="433"/>
    <col min="7421" max="7421" width="12" style="433" customWidth="1"/>
    <col min="7422" max="7422" width="10.140625" style="433" customWidth="1"/>
    <col min="7423" max="7429" width="0" style="433" hidden="1" customWidth="1"/>
    <col min="7430" max="7437" width="10.42578125" style="433" customWidth="1"/>
    <col min="7438" max="7438" width="11.28515625" style="433" customWidth="1"/>
    <col min="7439" max="7439" width="11.42578125" style="433" customWidth="1"/>
    <col min="7440" max="7676" width="9.140625" style="433"/>
    <col min="7677" max="7677" width="12" style="433" customWidth="1"/>
    <col min="7678" max="7678" width="10.140625" style="433" customWidth="1"/>
    <col min="7679" max="7685" width="0" style="433" hidden="1" customWidth="1"/>
    <col min="7686" max="7693" width="10.42578125" style="433" customWidth="1"/>
    <col min="7694" max="7694" width="11.28515625" style="433" customWidth="1"/>
    <col min="7695" max="7695" width="11.42578125" style="433" customWidth="1"/>
    <col min="7696" max="7932" width="9.140625" style="433"/>
    <col min="7933" max="7933" width="12" style="433" customWidth="1"/>
    <col min="7934" max="7934" width="10.140625" style="433" customWidth="1"/>
    <col min="7935" max="7941" width="0" style="433" hidden="1" customWidth="1"/>
    <col min="7942" max="7949" width="10.42578125" style="433" customWidth="1"/>
    <col min="7950" max="7950" width="11.28515625" style="433" customWidth="1"/>
    <col min="7951" max="7951" width="11.42578125" style="433" customWidth="1"/>
    <col min="7952" max="8188" width="9.140625" style="433"/>
    <col min="8189" max="8189" width="12" style="433" customWidth="1"/>
    <col min="8190" max="8190" width="10.140625" style="433" customWidth="1"/>
    <col min="8191" max="8197" width="0" style="433" hidden="1" customWidth="1"/>
    <col min="8198" max="8205" width="10.42578125" style="433" customWidth="1"/>
    <col min="8206" max="8206" width="11.28515625" style="433" customWidth="1"/>
    <col min="8207" max="8207" width="11.42578125" style="433" customWidth="1"/>
    <col min="8208" max="8444" width="9.140625" style="433"/>
    <col min="8445" max="8445" width="12" style="433" customWidth="1"/>
    <col min="8446" max="8446" width="10.140625" style="433" customWidth="1"/>
    <col min="8447" max="8453" width="0" style="433" hidden="1" customWidth="1"/>
    <col min="8454" max="8461" width="10.42578125" style="433" customWidth="1"/>
    <col min="8462" max="8462" width="11.28515625" style="433" customWidth="1"/>
    <col min="8463" max="8463" width="11.42578125" style="433" customWidth="1"/>
    <col min="8464" max="8700" width="9.140625" style="433"/>
    <col min="8701" max="8701" width="12" style="433" customWidth="1"/>
    <col min="8702" max="8702" width="10.140625" style="433" customWidth="1"/>
    <col min="8703" max="8709" width="0" style="433" hidden="1" customWidth="1"/>
    <col min="8710" max="8717" width="10.42578125" style="433" customWidth="1"/>
    <col min="8718" max="8718" width="11.28515625" style="433" customWidth="1"/>
    <col min="8719" max="8719" width="11.42578125" style="433" customWidth="1"/>
    <col min="8720" max="8956" width="9.140625" style="433"/>
    <col min="8957" max="8957" width="12" style="433" customWidth="1"/>
    <col min="8958" max="8958" width="10.140625" style="433" customWidth="1"/>
    <col min="8959" max="8965" width="0" style="433" hidden="1" customWidth="1"/>
    <col min="8966" max="8973" width="10.42578125" style="433" customWidth="1"/>
    <col min="8974" max="8974" width="11.28515625" style="433" customWidth="1"/>
    <col min="8975" max="8975" width="11.42578125" style="433" customWidth="1"/>
    <col min="8976" max="9212" width="9.140625" style="433"/>
    <col min="9213" max="9213" width="12" style="433" customWidth="1"/>
    <col min="9214" max="9214" width="10.140625" style="433" customWidth="1"/>
    <col min="9215" max="9221" width="0" style="433" hidden="1" customWidth="1"/>
    <col min="9222" max="9229" width="10.42578125" style="433" customWidth="1"/>
    <col min="9230" max="9230" width="11.28515625" style="433" customWidth="1"/>
    <col min="9231" max="9231" width="11.42578125" style="433" customWidth="1"/>
    <col min="9232" max="9468" width="9.140625" style="433"/>
    <col min="9469" max="9469" width="12" style="433" customWidth="1"/>
    <col min="9470" max="9470" width="10.140625" style="433" customWidth="1"/>
    <col min="9471" max="9477" width="0" style="433" hidden="1" customWidth="1"/>
    <col min="9478" max="9485" width="10.42578125" style="433" customWidth="1"/>
    <col min="9486" max="9486" width="11.28515625" style="433" customWidth="1"/>
    <col min="9487" max="9487" width="11.42578125" style="433" customWidth="1"/>
    <col min="9488" max="9724" width="9.140625" style="433"/>
    <col min="9725" max="9725" width="12" style="433" customWidth="1"/>
    <col min="9726" max="9726" width="10.140625" style="433" customWidth="1"/>
    <col min="9727" max="9733" width="0" style="433" hidden="1" customWidth="1"/>
    <col min="9734" max="9741" width="10.42578125" style="433" customWidth="1"/>
    <col min="9742" max="9742" width="11.28515625" style="433" customWidth="1"/>
    <col min="9743" max="9743" width="11.42578125" style="433" customWidth="1"/>
    <col min="9744" max="9980" width="9.140625" style="433"/>
    <col min="9981" max="9981" width="12" style="433" customWidth="1"/>
    <col min="9982" max="9982" width="10.140625" style="433" customWidth="1"/>
    <col min="9983" max="9989" width="0" style="433" hidden="1" customWidth="1"/>
    <col min="9990" max="9997" width="10.42578125" style="433" customWidth="1"/>
    <col min="9998" max="9998" width="11.28515625" style="433" customWidth="1"/>
    <col min="9999" max="9999" width="11.42578125" style="433" customWidth="1"/>
    <col min="10000" max="10236" width="9.140625" style="433"/>
    <col min="10237" max="10237" width="12" style="433" customWidth="1"/>
    <col min="10238" max="10238" width="10.140625" style="433" customWidth="1"/>
    <col min="10239" max="10245" width="0" style="433" hidden="1" customWidth="1"/>
    <col min="10246" max="10253" width="10.42578125" style="433" customWidth="1"/>
    <col min="10254" max="10254" width="11.28515625" style="433" customWidth="1"/>
    <col min="10255" max="10255" width="11.42578125" style="433" customWidth="1"/>
    <col min="10256" max="10492" width="9.140625" style="433"/>
    <col min="10493" max="10493" width="12" style="433" customWidth="1"/>
    <col min="10494" max="10494" width="10.140625" style="433" customWidth="1"/>
    <col min="10495" max="10501" width="0" style="433" hidden="1" customWidth="1"/>
    <col min="10502" max="10509" width="10.42578125" style="433" customWidth="1"/>
    <col min="10510" max="10510" width="11.28515625" style="433" customWidth="1"/>
    <col min="10511" max="10511" width="11.42578125" style="433" customWidth="1"/>
    <col min="10512" max="10748" width="9.140625" style="433"/>
    <col min="10749" max="10749" width="12" style="433" customWidth="1"/>
    <col min="10750" max="10750" width="10.140625" style="433" customWidth="1"/>
    <col min="10751" max="10757" width="0" style="433" hidden="1" customWidth="1"/>
    <col min="10758" max="10765" width="10.42578125" style="433" customWidth="1"/>
    <col min="10766" max="10766" width="11.28515625" style="433" customWidth="1"/>
    <col min="10767" max="10767" width="11.42578125" style="433" customWidth="1"/>
    <col min="10768" max="11004" width="9.140625" style="433"/>
    <col min="11005" max="11005" width="12" style="433" customWidth="1"/>
    <col min="11006" max="11006" width="10.140625" style="433" customWidth="1"/>
    <col min="11007" max="11013" width="0" style="433" hidden="1" customWidth="1"/>
    <col min="11014" max="11021" width="10.42578125" style="433" customWidth="1"/>
    <col min="11022" max="11022" width="11.28515625" style="433" customWidth="1"/>
    <col min="11023" max="11023" width="11.42578125" style="433" customWidth="1"/>
    <col min="11024" max="11260" width="9.140625" style="433"/>
    <col min="11261" max="11261" width="12" style="433" customWidth="1"/>
    <col min="11262" max="11262" width="10.140625" style="433" customWidth="1"/>
    <col min="11263" max="11269" width="0" style="433" hidden="1" customWidth="1"/>
    <col min="11270" max="11277" width="10.42578125" style="433" customWidth="1"/>
    <col min="11278" max="11278" width="11.28515625" style="433" customWidth="1"/>
    <col min="11279" max="11279" width="11.42578125" style="433" customWidth="1"/>
    <col min="11280" max="11516" width="9.140625" style="433"/>
    <col min="11517" max="11517" width="12" style="433" customWidth="1"/>
    <col min="11518" max="11518" width="10.140625" style="433" customWidth="1"/>
    <col min="11519" max="11525" width="0" style="433" hidden="1" customWidth="1"/>
    <col min="11526" max="11533" width="10.42578125" style="433" customWidth="1"/>
    <col min="11534" max="11534" width="11.28515625" style="433" customWidth="1"/>
    <col min="11535" max="11535" width="11.42578125" style="433" customWidth="1"/>
    <col min="11536" max="11772" width="9.140625" style="433"/>
    <col min="11773" max="11773" width="12" style="433" customWidth="1"/>
    <col min="11774" max="11774" width="10.140625" style="433" customWidth="1"/>
    <col min="11775" max="11781" width="0" style="433" hidden="1" customWidth="1"/>
    <col min="11782" max="11789" width="10.42578125" style="433" customWidth="1"/>
    <col min="11790" max="11790" width="11.28515625" style="433" customWidth="1"/>
    <col min="11791" max="11791" width="11.42578125" style="433" customWidth="1"/>
    <col min="11792" max="12028" width="9.140625" style="433"/>
    <col min="12029" max="12029" width="12" style="433" customWidth="1"/>
    <col min="12030" max="12030" width="10.140625" style="433" customWidth="1"/>
    <col min="12031" max="12037" width="0" style="433" hidden="1" customWidth="1"/>
    <col min="12038" max="12045" width="10.42578125" style="433" customWidth="1"/>
    <col min="12046" max="12046" width="11.28515625" style="433" customWidth="1"/>
    <col min="12047" max="12047" width="11.42578125" style="433" customWidth="1"/>
    <col min="12048" max="12284" width="9.140625" style="433"/>
    <col min="12285" max="12285" width="12" style="433" customWidth="1"/>
    <col min="12286" max="12286" width="10.140625" style="433" customWidth="1"/>
    <col min="12287" max="12293" width="0" style="433" hidden="1" customWidth="1"/>
    <col min="12294" max="12301" width="10.42578125" style="433" customWidth="1"/>
    <col min="12302" max="12302" width="11.28515625" style="433" customWidth="1"/>
    <col min="12303" max="12303" width="11.42578125" style="433" customWidth="1"/>
    <col min="12304" max="12540" width="9.140625" style="433"/>
    <col min="12541" max="12541" width="12" style="433" customWidth="1"/>
    <col min="12542" max="12542" width="10.140625" style="433" customWidth="1"/>
    <col min="12543" max="12549" width="0" style="433" hidden="1" customWidth="1"/>
    <col min="12550" max="12557" width="10.42578125" style="433" customWidth="1"/>
    <col min="12558" max="12558" width="11.28515625" style="433" customWidth="1"/>
    <col min="12559" max="12559" width="11.42578125" style="433" customWidth="1"/>
    <col min="12560" max="12796" width="9.140625" style="433"/>
    <col min="12797" max="12797" width="12" style="433" customWidth="1"/>
    <col min="12798" max="12798" width="10.140625" style="433" customWidth="1"/>
    <col min="12799" max="12805" width="0" style="433" hidden="1" customWidth="1"/>
    <col min="12806" max="12813" width="10.42578125" style="433" customWidth="1"/>
    <col min="12814" max="12814" width="11.28515625" style="433" customWidth="1"/>
    <col min="12815" max="12815" width="11.42578125" style="433" customWidth="1"/>
    <col min="12816" max="13052" width="9.140625" style="433"/>
    <col min="13053" max="13053" width="12" style="433" customWidth="1"/>
    <col min="13054" max="13054" width="10.140625" style="433" customWidth="1"/>
    <col min="13055" max="13061" width="0" style="433" hidden="1" customWidth="1"/>
    <col min="13062" max="13069" width="10.42578125" style="433" customWidth="1"/>
    <col min="13070" max="13070" width="11.28515625" style="433" customWidth="1"/>
    <col min="13071" max="13071" width="11.42578125" style="433" customWidth="1"/>
    <col min="13072" max="13308" width="9.140625" style="433"/>
    <col min="13309" max="13309" width="12" style="433" customWidth="1"/>
    <col min="13310" max="13310" width="10.140625" style="433" customWidth="1"/>
    <col min="13311" max="13317" width="0" style="433" hidden="1" customWidth="1"/>
    <col min="13318" max="13325" width="10.42578125" style="433" customWidth="1"/>
    <col min="13326" max="13326" width="11.28515625" style="433" customWidth="1"/>
    <col min="13327" max="13327" width="11.42578125" style="433" customWidth="1"/>
    <col min="13328" max="13564" width="9.140625" style="433"/>
    <col min="13565" max="13565" width="12" style="433" customWidth="1"/>
    <col min="13566" max="13566" width="10.140625" style="433" customWidth="1"/>
    <col min="13567" max="13573" width="0" style="433" hidden="1" customWidth="1"/>
    <col min="13574" max="13581" width="10.42578125" style="433" customWidth="1"/>
    <col min="13582" max="13582" width="11.28515625" style="433" customWidth="1"/>
    <col min="13583" max="13583" width="11.42578125" style="433" customWidth="1"/>
    <col min="13584" max="13820" width="9.140625" style="433"/>
    <col min="13821" max="13821" width="12" style="433" customWidth="1"/>
    <col min="13822" max="13822" width="10.140625" style="433" customWidth="1"/>
    <col min="13823" max="13829" width="0" style="433" hidden="1" customWidth="1"/>
    <col min="13830" max="13837" width="10.42578125" style="433" customWidth="1"/>
    <col min="13838" max="13838" width="11.28515625" style="433" customWidth="1"/>
    <col min="13839" max="13839" width="11.42578125" style="433" customWidth="1"/>
    <col min="13840" max="14076" width="9.140625" style="433"/>
    <col min="14077" max="14077" width="12" style="433" customWidth="1"/>
    <col min="14078" max="14078" width="10.140625" style="433" customWidth="1"/>
    <col min="14079" max="14085" width="0" style="433" hidden="1" customWidth="1"/>
    <col min="14086" max="14093" width="10.42578125" style="433" customWidth="1"/>
    <col min="14094" max="14094" width="11.28515625" style="433" customWidth="1"/>
    <col min="14095" max="14095" width="11.42578125" style="433" customWidth="1"/>
    <col min="14096" max="14332" width="9.140625" style="433"/>
    <col min="14333" max="14333" width="12" style="433" customWidth="1"/>
    <col min="14334" max="14334" width="10.140625" style="433" customWidth="1"/>
    <col min="14335" max="14341" width="0" style="433" hidden="1" customWidth="1"/>
    <col min="14342" max="14349" width="10.42578125" style="433" customWidth="1"/>
    <col min="14350" max="14350" width="11.28515625" style="433" customWidth="1"/>
    <col min="14351" max="14351" width="11.42578125" style="433" customWidth="1"/>
    <col min="14352" max="14588" width="9.140625" style="433"/>
    <col min="14589" max="14589" width="12" style="433" customWidth="1"/>
    <col min="14590" max="14590" width="10.140625" style="433" customWidth="1"/>
    <col min="14591" max="14597" width="0" style="433" hidden="1" customWidth="1"/>
    <col min="14598" max="14605" width="10.42578125" style="433" customWidth="1"/>
    <col min="14606" max="14606" width="11.28515625" style="433" customWidth="1"/>
    <col min="14607" max="14607" width="11.42578125" style="433" customWidth="1"/>
    <col min="14608" max="14844" width="9.140625" style="433"/>
    <col min="14845" max="14845" width="12" style="433" customWidth="1"/>
    <col min="14846" max="14846" width="10.140625" style="433" customWidth="1"/>
    <col min="14847" max="14853" width="0" style="433" hidden="1" customWidth="1"/>
    <col min="14854" max="14861" width="10.42578125" style="433" customWidth="1"/>
    <col min="14862" max="14862" width="11.28515625" style="433" customWidth="1"/>
    <col min="14863" max="14863" width="11.42578125" style="433" customWidth="1"/>
    <col min="14864" max="15100" width="9.140625" style="433"/>
    <col min="15101" max="15101" width="12" style="433" customWidth="1"/>
    <col min="15102" max="15102" width="10.140625" style="433" customWidth="1"/>
    <col min="15103" max="15109" width="0" style="433" hidden="1" customWidth="1"/>
    <col min="15110" max="15117" width="10.42578125" style="433" customWidth="1"/>
    <col min="15118" max="15118" width="11.28515625" style="433" customWidth="1"/>
    <col min="15119" max="15119" width="11.42578125" style="433" customWidth="1"/>
    <col min="15120" max="15356" width="9.140625" style="433"/>
    <col min="15357" max="15357" width="12" style="433" customWidth="1"/>
    <col min="15358" max="15358" width="10.140625" style="433" customWidth="1"/>
    <col min="15359" max="15365" width="0" style="433" hidden="1" customWidth="1"/>
    <col min="15366" max="15373" width="10.42578125" style="433" customWidth="1"/>
    <col min="15374" max="15374" width="11.28515625" style="433" customWidth="1"/>
    <col min="15375" max="15375" width="11.42578125" style="433" customWidth="1"/>
    <col min="15376" max="15612" width="9.140625" style="433"/>
    <col min="15613" max="15613" width="12" style="433" customWidth="1"/>
    <col min="15614" max="15614" width="10.140625" style="433" customWidth="1"/>
    <col min="15615" max="15621" width="0" style="433" hidden="1" customWidth="1"/>
    <col min="15622" max="15629" width="10.42578125" style="433" customWidth="1"/>
    <col min="15630" max="15630" width="11.28515625" style="433" customWidth="1"/>
    <col min="15631" max="15631" width="11.42578125" style="433" customWidth="1"/>
    <col min="15632" max="15868" width="9.140625" style="433"/>
    <col min="15869" max="15869" width="12" style="433" customWidth="1"/>
    <col min="15870" max="15870" width="10.140625" style="433" customWidth="1"/>
    <col min="15871" max="15877" width="0" style="433" hidden="1" customWidth="1"/>
    <col min="15878" max="15885" width="10.42578125" style="433" customWidth="1"/>
    <col min="15886" max="15886" width="11.28515625" style="433" customWidth="1"/>
    <col min="15887" max="15887" width="11.42578125" style="433" customWidth="1"/>
    <col min="15888" max="16124" width="9.140625" style="433"/>
    <col min="16125" max="16125" width="12" style="433" customWidth="1"/>
    <col min="16126" max="16126" width="10.140625" style="433" customWidth="1"/>
    <col min="16127" max="16133" width="0" style="433" hidden="1" customWidth="1"/>
    <col min="16134" max="16141" width="10.42578125" style="433" customWidth="1"/>
    <col min="16142" max="16142" width="11.28515625" style="433" customWidth="1"/>
    <col min="16143" max="16143" width="11.42578125" style="433" customWidth="1"/>
    <col min="16144" max="16384" width="9.140625" style="433"/>
  </cols>
  <sheetData>
    <row r="1" spans="1:22" ht="37.5" customHeight="1" thickTop="1">
      <c r="A1" s="1868" t="s">
        <v>2590</v>
      </c>
      <c r="B1" s="1944"/>
      <c r="C1" s="1944"/>
      <c r="D1" s="1944"/>
      <c r="E1" s="1944"/>
      <c r="F1" s="1944"/>
      <c r="G1" s="1944"/>
      <c r="H1" s="1944"/>
      <c r="I1" s="1944"/>
      <c r="J1" s="1944"/>
      <c r="K1" s="1944"/>
      <c r="L1" s="1944"/>
      <c r="M1" s="1944"/>
      <c r="N1" s="1944"/>
      <c r="O1" s="1944"/>
      <c r="P1" s="1944"/>
      <c r="Q1" s="1944"/>
      <c r="R1" s="1944"/>
      <c r="S1" s="1944"/>
      <c r="T1" s="1944"/>
      <c r="U1" s="1944"/>
      <c r="V1" s="1945"/>
    </row>
    <row r="2" spans="1:22" ht="18.75" customHeight="1">
      <c r="A2" s="1166"/>
      <c r="B2" s="7"/>
      <c r="C2" s="7"/>
      <c r="D2" s="7"/>
      <c r="E2" s="7"/>
      <c r="F2" s="7"/>
      <c r="G2" s="7"/>
      <c r="H2" s="7"/>
      <c r="I2" s="7"/>
      <c r="J2" s="7"/>
      <c r="K2" s="7"/>
      <c r="L2" s="7" t="s">
        <v>881</v>
      </c>
      <c r="M2" s="7"/>
      <c r="N2" s="7"/>
      <c r="O2" s="7"/>
      <c r="P2" s="7"/>
      <c r="R2" s="7"/>
      <c r="S2" s="7"/>
      <c r="T2" s="7"/>
      <c r="U2" s="7"/>
      <c r="V2" s="1137"/>
    </row>
    <row r="3" spans="1:22" s="450" customFormat="1" ht="20.25" customHeight="1">
      <c r="A3" s="1989" t="s">
        <v>141</v>
      </c>
      <c r="B3" s="1929" t="s">
        <v>880</v>
      </c>
      <c r="C3" s="80"/>
      <c r="D3" s="80"/>
      <c r="E3" s="80"/>
      <c r="F3" s="80"/>
      <c r="G3" s="80"/>
      <c r="H3" s="80"/>
      <c r="I3" s="80"/>
      <c r="J3" s="1990" t="s">
        <v>879</v>
      </c>
      <c r="K3" s="1991"/>
      <c r="L3" s="1991"/>
      <c r="M3" s="1991"/>
      <c r="N3" s="1991"/>
      <c r="O3" s="1991"/>
      <c r="P3" s="1991"/>
      <c r="Q3" s="1991"/>
      <c r="R3" s="1991"/>
      <c r="S3" s="1992"/>
      <c r="T3" s="1126"/>
      <c r="U3" s="1948" t="s">
        <v>49</v>
      </c>
      <c r="V3" s="1921" t="s">
        <v>878</v>
      </c>
    </row>
    <row r="4" spans="1:22" s="450" customFormat="1" ht="22.5" customHeight="1">
      <c r="A4" s="1989"/>
      <c r="B4" s="1929"/>
      <c r="C4" s="80">
        <v>2005</v>
      </c>
      <c r="D4" s="80">
        <v>2006</v>
      </c>
      <c r="E4" s="80">
        <v>2007</v>
      </c>
      <c r="F4" s="80">
        <v>2008</v>
      </c>
      <c r="G4" s="80">
        <v>2009</v>
      </c>
      <c r="H4" s="80">
        <v>2010</v>
      </c>
      <c r="I4" s="80">
        <v>2011</v>
      </c>
      <c r="J4" s="80">
        <v>2012</v>
      </c>
      <c r="K4" s="80">
        <v>2013</v>
      </c>
      <c r="L4" s="80">
        <v>2014</v>
      </c>
      <c r="M4" s="80">
        <v>2015</v>
      </c>
      <c r="N4" s="80">
        <v>2016</v>
      </c>
      <c r="O4" s="80">
        <v>2017</v>
      </c>
      <c r="P4" s="80">
        <v>2018</v>
      </c>
      <c r="Q4" s="80">
        <v>2019</v>
      </c>
      <c r="R4" s="80">
        <v>2020</v>
      </c>
      <c r="S4" s="80">
        <v>2021</v>
      </c>
      <c r="T4" s="1126">
        <v>2022</v>
      </c>
      <c r="U4" s="1992"/>
      <c r="V4" s="1921"/>
    </row>
    <row r="5" spans="1:22" ht="15" customHeight="1">
      <c r="A5" s="1976" t="s">
        <v>877</v>
      </c>
      <c r="B5" s="91" t="s">
        <v>818</v>
      </c>
      <c r="C5" s="31"/>
      <c r="D5" s="5"/>
      <c r="E5" s="5"/>
      <c r="F5" s="5"/>
      <c r="G5" s="5"/>
      <c r="H5" s="5"/>
      <c r="I5" s="5"/>
      <c r="J5" s="55">
        <v>1278.6500000000001</v>
      </c>
      <c r="K5" s="55">
        <v>1278.6500000000001</v>
      </c>
      <c r="L5" s="113">
        <v>1278.6500000000001</v>
      </c>
      <c r="M5" s="113">
        <v>1278.6500000000001</v>
      </c>
      <c r="N5" s="448">
        <v>1278.6500000000001</v>
      </c>
      <c r="O5" s="448">
        <v>1278.6500000000001</v>
      </c>
      <c r="P5" s="448">
        <v>1278.6500000000001</v>
      </c>
      <c r="Q5" s="448">
        <v>1278.6500000000001</v>
      </c>
      <c r="R5" s="448">
        <v>1278.6500000000001</v>
      </c>
      <c r="S5" s="448">
        <v>1278.6500000000001</v>
      </c>
      <c r="T5" s="447">
        <v>1278.6499999999999</v>
      </c>
      <c r="U5" s="1978" t="s">
        <v>17</v>
      </c>
      <c r="V5" s="630" t="s">
        <v>816</v>
      </c>
    </row>
    <row r="6" spans="1:22" ht="15" customHeight="1">
      <c r="A6" s="1976"/>
      <c r="B6" s="91" t="s">
        <v>815</v>
      </c>
      <c r="C6" s="31"/>
      <c r="D6" s="5"/>
      <c r="E6" s="5"/>
      <c r="F6" s="5"/>
      <c r="G6" s="5"/>
      <c r="H6" s="5"/>
      <c r="I6" s="5"/>
      <c r="J6" s="55">
        <v>283.7</v>
      </c>
      <c r="K6" s="55">
        <v>283.7</v>
      </c>
      <c r="L6" s="113">
        <v>283.7</v>
      </c>
      <c r="M6" s="113">
        <v>283.7</v>
      </c>
      <c r="N6" s="448">
        <v>283.7</v>
      </c>
      <c r="O6" s="448">
        <v>283.7</v>
      </c>
      <c r="P6" s="448">
        <v>283.7</v>
      </c>
      <c r="Q6" s="448">
        <v>283.7</v>
      </c>
      <c r="R6" s="448">
        <v>283.7</v>
      </c>
      <c r="S6" s="448">
        <v>283.7</v>
      </c>
      <c r="T6" s="447">
        <v>283.7</v>
      </c>
      <c r="U6" s="1978"/>
      <c r="V6" s="630" t="s">
        <v>814</v>
      </c>
    </row>
    <row r="7" spans="1:22" ht="15" customHeight="1">
      <c r="A7" s="1976"/>
      <c r="B7" s="91" t="s">
        <v>813</v>
      </c>
      <c r="C7" s="31"/>
      <c r="D7" s="5"/>
      <c r="E7" s="5"/>
      <c r="F7" s="5"/>
      <c r="G7" s="5"/>
      <c r="H7" s="5"/>
      <c r="I7" s="5"/>
      <c r="J7" s="55">
        <v>1159.7</v>
      </c>
      <c r="K7" s="55">
        <v>1159.7</v>
      </c>
      <c r="L7" s="113">
        <v>1159.7</v>
      </c>
      <c r="M7" s="113">
        <v>1159.7</v>
      </c>
      <c r="N7" s="448">
        <v>1159.7</v>
      </c>
      <c r="O7" s="448">
        <v>1159.7</v>
      </c>
      <c r="P7" s="448">
        <v>1159.7</v>
      </c>
      <c r="Q7" s="448">
        <v>1159.7</v>
      </c>
      <c r="R7" s="448">
        <v>1159.7</v>
      </c>
      <c r="S7" s="448">
        <v>1159.7</v>
      </c>
      <c r="T7" s="447">
        <v>1159.7</v>
      </c>
      <c r="U7" s="1978"/>
      <c r="V7" s="630" t="s">
        <v>812</v>
      </c>
    </row>
    <row r="8" spans="1:22" s="446" customFormat="1" ht="15" customHeight="1">
      <c r="A8" s="1976"/>
      <c r="B8" s="1130" t="s">
        <v>143</v>
      </c>
      <c r="C8" s="54"/>
      <c r="D8" s="30"/>
      <c r="E8" s="30"/>
      <c r="F8" s="30"/>
      <c r="G8" s="30"/>
      <c r="H8" s="30"/>
      <c r="I8" s="30"/>
      <c r="J8" s="57">
        <f t="shared" ref="J8:T8" si="0">SUM(J5:J7)</f>
        <v>2722.05</v>
      </c>
      <c r="K8" s="57">
        <f t="shared" si="0"/>
        <v>2722.05</v>
      </c>
      <c r="L8" s="114">
        <f t="shared" si="0"/>
        <v>2722.05</v>
      </c>
      <c r="M8" s="114">
        <f t="shared" si="0"/>
        <v>2722.05</v>
      </c>
      <c r="N8" s="445">
        <f t="shared" si="0"/>
        <v>2722.05</v>
      </c>
      <c r="O8" s="445">
        <f t="shared" si="0"/>
        <v>2722.05</v>
      </c>
      <c r="P8" s="445">
        <f t="shared" si="0"/>
        <v>2722.05</v>
      </c>
      <c r="Q8" s="445">
        <f t="shared" si="0"/>
        <v>2722.05</v>
      </c>
      <c r="R8" s="445">
        <f t="shared" si="0"/>
        <v>2722.05</v>
      </c>
      <c r="S8" s="445">
        <f t="shared" si="0"/>
        <v>2722.05</v>
      </c>
      <c r="T8" s="445">
        <f t="shared" si="0"/>
        <v>2722.05</v>
      </c>
      <c r="U8" s="1978"/>
      <c r="V8" s="1212" t="s">
        <v>0</v>
      </c>
    </row>
    <row r="9" spans="1:22" ht="15" customHeight="1">
      <c r="A9" s="1987" t="s">
        <v>876</v>
      </c>
      <c r="B9" s="91" t="s">
        <v>818</v>
      </c>
      <c r="C9" s="31"/>
      <c r="D9" s="5"/>
      <c r="E9" s="5"/>
      <c r="F9" s="5"/>
      <c r="G9" s="5"/>
      <c r="H9" s="5"/>
      <c r="I9" s="5"/>
      <c r="J9" s="55">
        <v>0</v>
      </c>
      <c r="K9" s="55">
        <v>0</v>
      </c>
      <c r="L9" s="113">
        <v>0</v>
      </c>
      <c r="M9" s="113">
        <v>0</v>
      </c>
      <c r="N9" s="448">
        <v>0</v>
      </c>
      <c r="O9" s="448">
        <v>0</v>
      </c>
      <c r="P9" s="448">
        <v>0</v>
      </c>
      <c r="Q9" s="448">
        <v>0</v>
      </c>
      <c r="R9" s="448">
        <v>0</v>
      </c>
      <c r="S9" s="448">
        <v>0</v>
      </c>
      <c r="T9" s="448">
        <v>0</v>
      </c>
      <c r="U9" s="1985" t="s">
        <v>875</v>
      </c>
      <c r="V9" s="630" t="s">
        <v>816</v>
      </c>
    </row>
    <row r="10" spans="1:22" ht="15" customHeight="1">
      <c r="A10" s="1976"/>
      <c r="B10" s="91" t="s">
        <v>815</v>
      </c>
      <c r="C10" s="31"/>
      <c r="D10" s="5"/>
      <c r="E10" s="5"/>
      <c r="F10" s="5"/>
      <c r="G10" s="5"/>
      <c r="H10" s="5"/>
      <c r="I10" s="5"/>
      <c r="J10" s="55">
        <v>20.25</v>
      </c>
      <c r="K10" s="55">
        <v>20.25</v>
      </c>
      <c r="L10" s="113">
        <v>20.25</v>
      </c>
      <c r="M10" s="113">
        <v>20.25</v>
      </c>
      <c r="N10" s="448">
        <v>20.25</v>
      </c>
      <c r="O10" s="448">
        <v>20.25</v>
      </c>
      <c r="P10" s="448">
        <v>20.25</v>
      </c>
      <c r="Q10" s="448">
        <v>20.25</v>
      </c>
      <c r="R10" s="448">
        <v>20.25</v>
      </c>
      <c r="S10" s="448">
        <v>20.25</v>
      </c>
      <c r="T10" s="447">
        <v>20.25</v>
      </c>
      <c r="U10" s="1978"/>
      <c r="V10" s="630" t="s">
        <v>814</v>
      </c>
    </row>
    <row r="11" spans="1:22" ht="15" customHeight="1">
      <c r="A11" s="1976"/>
      <c r="B11" s="91" t="s">
        <v>813</v>
      </c>
      <c r="C11" s="31"/>
      <c r="D11" s="5"/>
      <c r="E11" s="5"/>
      <c r="F11" s="5"/>
      <c r="G11" s="5"/>
      <c r="H11" s="5"/>
      <c r="I11" s="5"/>
      <c r="J11" s="55">
        <v>7.3</v>
      </c>
      <c r="K11" s="55">
        <v>7.3</v>
      </c>
      <c r="L11" s="113">
        <v>7.3</v>
      </c>
      <c r="M11" s="113">
        <v>7.3</v>
      </c>
      <c r="N11" s="448">
        <v>7.3</v>
      </c>
      <c r="O11" s="448">
        <v>7.3</v>
      </c>
      <c r="P11" s="448">
        <v>7.3</v>
      </c>
      <c r="Q11" s="448">
        <v>7.3</v>
      </c>
      <c r="R11" s="448">
        <v>7.3</v>
      </c>
      <c r="S11" s="448">
        <v>7.3</v>
      </c>
      <c r="T11" s="447">
        <v>7.3</v>
      </c>
      <c r="U11" s="1978"/>
      <c r="V11" s="630" t="s">
        <v>812</v>
      </c>
    </row>
    <row r="12" spans="1:22" s="446" customFormat="1" ht="15" customHeight="1">
      <c r="A12" s="1976"/>
      <c r="B12" s="1130" t="s">
        <v>143</v>
      </c>
      <c r="C12" s="54"/>
      <c r="D12" s="30"/>
      <c r="E12" s="30"/>
      <c r="F12" s="30"/>
      <c r="G12" s="30"/>
      <c r="H12" s="30"/>
      <c r="I12" s="30"/>
      <c r="J12" s="57">
        <f t="shared" ref="J12:T12" si="1">SUM(J9:J11)</f>
        <v>27.55</v>
      </c>
      <c r="K12" s="57">
        <f t="shared" si="1"/>
        <v>27.55</v>
      </c>
      <c r="L12" s="114">
        <f t="shared" si="1"/>
        <v>27.55</v>
      </c>
      <c r="M12" s="114">
        <f t="shared" si="1"/>
        <v>27.55</v>
      </c>
      <c r="N12" s="445">
        <f t="shared" si="1"/>
        <v>27.55</v>
      </c>
      <c r="O12" s="445">
        <f t="shared" si="1"/>
        <v>27.55</v>
      </c>
      <c r="P12" s="445">
        <f t="shared" si="1"/>
        <v>27.55</v>
      </c>
      <c r="Q12" s="445">
        <f t="shared" si="1"/>
        <v>27.55</v>
      </c>
      <c r="R12" s="445">
        <f t="shared" si="1"/>
        <v>27.55</v>
      </c>
      <c r="S12" s="445">
        <f t="shared" si="1"/>
        <v>27.55</v>
      </c>
      <c r="T12" s="445">
        <f t="shared" si="1"/>
        <v>27.55</v>
      </c>
      <c r="U12" s="1978"/>
      <c r="V12" s="1212" t="s">
        <v>0</v>
      </c>
    </row>
    <row r="13" spans="1:22" ht="15" customHeight="1">
      <c r="A13" s="1976" t="s">
        <v>874</v>
      </c>
      <c r="B13" s="91" t="s">
        <v>818</v>
      </c>
      <c r="C13" s="31"/>
      <c r="D13" s="5"/>
      <c r="E13" s="5"/>
      <c r="F13" s="5"/>
      <c r="G13" s="5"/>
      <c r="H13" s="5"/>
      <c r="I13" s="5"/>
      <c r="J13" s="55">
        <v>0</v>
      </c>
      <c r="K13" s="55">
        <v>0</v>
      </c>
      <c r="L13" s="113">
        <v>0</v>
      </c>
      <c r="M13" s="113">
        <v>0</v>
      </c>
      <c r="N13" s="448">
        <v>0</v>
      </c>
      <c r="O13" s="448">
        <v>0</v>
      </c>
      <c r="P13" s="448">
        <v>0</v>
      </c>
      <c r="Q13" s="448">
        <v>0</v>
      </c>
      <c r="R13" s="448">
        <v>0</v>
      </c>
      <c r="S13" s="448">
        <v>0</v>
      </c>
      <c r="T13" s="448">
        <v>0</v>
      </c>
      <c r="U13" s="1978" t="s">
        <v>6</v>
      </c>
      <c r="V13" s="630" t="s">
        <v>816</v>
      </c>
    </row>
    <row r="14" spans="1:22" ht="15" customHeight="1">
      <c r="A14" s="1976"/>
      <c r="B14" s="91" t="s">
        <v>815</v>
      </c>
      <c r="C14" s="31"/>
      <c r="D14" s="5"/>
      <c r="E14" s="5"/>
      <c r="F14" s="5"/>
      <c r="G14" s="5"/>
      <c r="H14" s="5"/>
      <c r="I14" s="5"/>
      <c r="J14" s="55">
        <v>0</v>
      </c>
      <c r="K14" s="55">
        <v>0</v>
      </c>
      <c r="L14" s="113">
        <v>0</v>
      </c>
      <c r="M14" s="113">
        <v>0</v>
      </c>
      <c r="N14" s="448">
        <v>0</v>
      </c>
      <c r="O14" s="448">
        <v>0</v>
      </c>
      <c r="P14" s="448">
        <v>0</v>
      </c>
      <c r="Q14" s="448">
        <v>0</v>
      </c>
      <c r="R14" s="448">
        <v>0</v>
      </c>
      <c r="S14" s="448">
        <v>0</v>
      </c>
      <c r="T14" s="448">
        <v>0</v>
      </c>
      <c r="U14" s="1978"/>
      <c r="V14" s="630" t="s">
        <v>814</v>
      </c>
    </row>
    <row r="15" spans="1:22" ht="15" customHeight="1">
      <c r="A15" s="1976"/>
      <c r="B15" s="91" t="s">
        <v>813</v>
      </c>
      <c r="C15" s="31"/>
      <c r="D15" s="5"/>
      <c r="E15" s="5"/>
      <c r="F15" s="5"/>
      <c r="G15" s="5"/>
      <c r="H15" s="5"/>
      <c r="I15" s="5"/>
      <c r="J15" s="55">
        <v>9.65</v>
      </c>
      <c r="K15" s="55">
        <v>9.65</v>
      </c>
      <c r="L15" s="113">
        <v>9.65</v>
      </c>
      <c r="M15" s="113">
        <v>9.65</v>
      </c>
      <c r="N15" s="448">
        <v>9.65</v>
      </c>
      <c r="O15" s="448">
        <v>9.65</v>
      </c>
      <c r="P15" s="448">
        <v>9.65</v>
      </c>
      <c r="Q15" s="448">
        <v>9.65</v>
      </c>
      <c r="R15" s="448">
        <v>9.65</v>
      </c>
      <c r="S15" s="448">
        <v>9.65</v>
      </c>
      <c r="T15" s="447">
        <v>9.65</v>
      </c>
      <c r="U15" s="1978"/>
      <c r="V15" s="630" t="s">
        <v>812</v>
      </c>
    </row>
    <row r="16" spans="1:22" s="446" customFormat="1" ht="15" customHeight="1">
      <c r="A16" s="1976"/>
      <c r="B16" s="1130" t="s">
        <v>143</v>
      </c>
      <c r="C16" s="54"/>
      <c r="D16" s="30"/>
      <c r="E16" s="30"/>
      <c r="F16" s="30"/>
      <c r="G16" s="30"/>
      <c r="H16" s="30"/>
      <c r="I16" s="30"/>
      <c r="J16" s="57">
        <f t="shared" ref="J16:T16" si="2">SUM(J13:J15)</f>
        <v>9.65</v>
      </c>
      <c r="K16" s="57">
        <f t="shared" si="2"/>
        <v>9.65</v>
      </c>
      <c r="L16" s="114">
        <f t="shared" si="2"/>
        <v>9.65</v>
      </c>
      <c r="M16" s="114">
        <f t="shared" si="2"/>
        <v>9.65</v>
      </c>
      <c r="N16" s="445">
        <f t="shared" si="2"/>
        <v>9.65</v>
      </c>
      <c r="O16" s="445">
        <f t="shared" si="2"/>
        <v>9.65</v>
      </c>
      <c r="P16" s="445">
        <f t="shared" si="2"/>
        <v>9.65</v>
      </c>
      <c r="Q16" s="445">
        <f t="shared" si="2"/>
        <v>9.65</v>
      </c>
      <c r="R16" s="445">
        <f t="shared" si="2"/>
        <v>9.65</v>
      </c>
      <c r="S16" s="445">
        <f t="shared" si="2"/>
        <v>9.65</v>
      </c>
      <c r="T16" s="445">
        <f t="shared" si="2"/>
        <v>9.65</v>
      </c>
      <c r="U16" s="1978"/>
      <c r="V16" s="1212" t="s">
        <v>0</v>
      </c>
    </row>
    <row r="17" spans="1:22" ht="15" customHeight="1">
      <c r="A17" s="1976" t="s">
        <v>873</v>
      </c>
      <c r="B17" s="91" t="s">
        <v>818</v>
      </c>
      <c r="C17" s="31"/>
      <c r="D17" s="5"/>
      <c r="E17" s="5"/>
      <c r="F17" s="5"/>
      <c r="G17" s="5"/>
      <c r="H17" s="5"/>
      <c r="I17" s="5"/>
      <c r="J17" s="55">
        <v>0</v>
      </c>
      <c r="K17" s="55">
        <v>0</v>
      </c>
      <c r="L17" s="113">
        <v>0</v>
      </c>
      <c r="M17" s="113">
        <v>0</v>
      </c>
      <c r="N17" s="448">
        <v>0</v>
      </c>
      <c r="O17" s="448">
        <v>0</v>
      </c>
      <c r="P17" s="448">
        <v>0</v>
      </c>
      <c r="Q17" s="449">
        <v>0</v>
      </c>
      <c r="R17" s="449">
        <v>0</v>
      </c>
      <c r="S17" s="449">
        <v>0</v>
      </c>
      <c r="T17" s="449">
        <v>0</v>
      </c>
      <c r="U17" s="1978" t="s">
        <v>10</v>
      </c>
      <c r="V17" s="630" t="s">
        <v>816</v>
      </c>
    </row>
    <row r="18" spans="1:22" ht="15" customHeight="1">
      <c r="A18" s="1976"/>
      <c r="B18" s="91" t="s">
        <v>815</v>
      </c>
      <c r="C18" s="31"/>
      <c r="D18" s="5"/>
      <c r="E18" s="5"/>
      <c r="F18" s="5"/>
      <c r="G18" s="5"/>
      <c r="H18" s="5"/>
      <c r="I18" s="5"/>
      <c r="J18" s="55">
        <v>405.61</v>
      </c>
      <c r="K18" s="55">
        <v>405.61</v>
      </c>
      <c r="L18" s="113">
        <v>405.61</v>
      </c>
      <c r="M18" s="113">
        <v>405.61</v>
      </c>
      <c r="N18" s="448">
        <v>405.61</v>
      </c>
      <c r="O18" s="448">
        <v>405.61</v>
      </c>
      <c r="P18" s="448">
        <v>405.61</v>
      </c>
      <c r="Q18" s="448">
        <v>405.61</v>
      </c>
      <c r="R18" s="448">
        <v>405.61</v>
      </c>
      <c r="S18" s="448">
        <v>405.61</v>
      </c>
      <c r="T18" s="447">
        <v>405.61</v>
      </c>
      <c r="U18" s="1978"/>
      <c r="V18" s="630" t="s">
        <v>814</v>
      </c>
    </row>
    <row r="19" spans="1:22" ht="15" customHeight="1">
      <c r="A19" s="1976"/>
      <c r="B19" s="91" t="s">
        <v>813</v>
      </c>
      <c r="C19" s="31"/>
      <c r="D19" s="5"/>
      <c r="E19" s="5"/>
      <c r="F19" s="5"/>
      <c r="G19" s="5"/>
      <c r="H19" s="5"/>
      <c r="I19" s="5"/>
      <c r="J19" s="55">
        <v>11</v>
      </c>
      <c r="K19" s="55">
        <v>11</v>
      </c>
      <c r="L19" s="113">
        <v>11</v>
      </c>
      <c r="M19" s="113">
        <v>11</v>
      </c>
      <c r="N19" s="448">
        <v>11</v>
      </c>
      <c r="O19" s="448">
        <v>11</v>
      </c>
      <c r="P19" s="448">
        <v>11</v>
      </c>
      <c r="Q19" s="448">
        <v>11</v>
      </c>
      <c r="R19" s="448">
        <v>11</v>
      </c>
      <c r="S19" s="448">
        <v>11</v>
      </c>
      <c r="T19" s="447">
        <v>11</v>
      </c>
      <c r="U19" s="1978"/>
      <c r="V19" s="630" t="s">
        <v>812</v>
      </c>
    </row>
    <row r="20" spans="1:22" s="446" customFormat="1" ht="15" customHeight="1">
      <c r="A20" s="1976"/>
      <c r="B20" s="1130" t="s">
        <v>143</v>
      </c>
      <c r="C20" s="54"/>
      <c r="D20" s="30"/>
      <c r="E20" s="30"/>
      <c r="F20" s="30"/>
      <c r="G20" s="30"/>
      <c r="H20" s="30"/>
      <c r="I20" s="30"/>
      <c r="J20" s="57">
        <f t="shared" ref="J20:T20" si="3">SUM(J17:J19)</f>
        <v>416.61</v>
      </c>
      <c r="K20" s="57">
        <f t="shared" si="3"/>
        <v>416.61</v>
      </c>
      <c r="L20" s="114">
        <f t="shared" si="3"/>
        <v>416.61</v>
      </c>
      <c r="M20" s="114">
        <f t="shared" si="3"/>
        <v>416.61</v>
      </c>
      <c r="N20" s="445">
        <f t="shared" si="3"/>
        <v>416.61</v>
      </c>
      <c r="O20" s="445">
        <f t="shared" si="3"/>
        <v>416.61</v>
      </c>
      <c r="P20" s="445">
        <f t="shared" si="3"/>
        <v>416.61</v>
      </c>
      <c r="Q20" s="445">
        <f t="shared" si="3"/>
        <v>416.61</v>
      </c>
      <c r="R20" s="445">
        <f t="shared" si="3"/>
        <v>416.61</v>
      </c>
      <c r="S20" s="445">
        <f t="shared" si="3"/>
        <v>416.61</v>
      </c>
      <c r="T20" s="445">
        <f t="shared" si="3"/>
        <v>416.61</v>
      </c>
      <c r="U20" s="1978"/>
      <c r="V20" s="1212" t="s">
        <v>0</v>
      </c>
    </row>
    <row r="21" spans="1:22" ht="15" customHeight="1">
      <c r="A21" s="1976" t="s">
        <v>872</v>
      </c>
      <c r="B21" s="91" t="s">
        <v>818</v>
      </c>
      <c r="C21" s="31"/>
      <c r="D21" s="5"/>
      <c r="E21" s="5"/>
      <c r="F21" s="5"/>
      <c r="G21" s="5"/>
      <c r="H21" s="5"/>
      <c r="I21" s="5"/>
      <c r="J21" s="55">
        <v>1167.02</v>
      </c>
      <c r="K21" s="55">
        <v>1167.02</v>
      </c>
      <c r="L21" s="113">
        <v>1167.02</v>
      </c>
      <c r="M21" s="113">
        <v>1168.53</v>
      </c>
      <c r="N21" s="448">
        <v>1168.53</v>
      </c>
      <c r="O21" s="448">
        <v>1168.53</v>
      </c>
      <c r="P21" s="448">
        <v>1168.53</v>
      </c>
      <c r="Q21" s="448">
        <v>1168.53</v>
      </c>
      <c r="R21" s="448">
        <v>1168.53</v>
      </c>
      <c r="S21" s="448">
        <v>1168.53</v>
      </c>
      <c r="T21" s="447">
        <v>1168.53</v>
      </c>
      <c r="U21" s="1978" t="s">
        <v>33</v>
      </c>
      <c r="V21" s="630" t="s">
        <v>816</v>
      </c>
    </row>
    <row r="22" spans="1:22" ht="15" customHeight="1">
      <c r="A22" s="1976"/>
      <c r="B22" s="91" t="s">
        <v>815</v>
      </c>
      <c r="C22" s="31"/>
      <c r="D22" s="5"/>
      <c r="E22" s="5"/>
      <c r="F22" s="5"/>
      <c r="G22" s="5"/>
      <c r="H22" s="5"/>
      <c r="I22" s="5"/>
      <c r="J22" s="55">
        <v>2152.59</v>
      </c>
      <c r="K22" s="55">
        <v>2671.93</v>
      </c>
      <c r="L22" s="113">
        <v>2671.93</v>
      </c>
      <c r="M22" s="113">
        <v>2670.84</v>
      </c>
      <c r="N22" s="448">
        <v>2670.84</v>
      </c>
      <c r="O22" s="448">
        <v>2670.84</v>
      </c>
      <c r="P22" s="448">
        <v>3029.78</v>
      </c>
      <c r="Q22" s="448">
        <v>3029.78</v>
      </c>
      <c r="R22" s="448">
        <v>3029.78</v>
      </c>
      <c r="S22" s="448">
        <v>3029.78</v>
      </c>
      <c r="T22" s="447">
        <v>3029.78</v>
      </c>
      <c r="U22" s="1978"/>
      <c r="V22" s="630" t="s">
        <v>814</v>
      </c>
    </row>
    <row r="23" spans="1:22" ht="15" customHeight="1">
      <c r="A23" s="1976"/>
      <c r="B23" s="91" t="s">
        <v>813</v>
      </c>
      <c r="C23" s="31"/>
      <c r="D23" s="5"/>
      <c r="E23" s="5"/>
      <c r="F23" s="5"/>
      <c r="G23" s="5"/>
      <c r="H23" s="5"/>
      <c r="I23" s="5"/>
      <c r="J23" s="55">
        <v>1587.4</v>
      </c>
      <c r="K23" s="55">
        <v>1850.57</v>
      </c>
      <c r="L23" s="113">
        <v>1881.39</v>
      </c>
      <c r="M23" s="113">
        <v>1887.34</v>
      </c>
      <c r="N23" s="448">
        <v>1896.6</v>
      </c>
      <c r="O23" s="448">
        <v>1896.6</v>
      </c>
      <c r="P23" s="448">
        <v>2150.77</v>
      </c>
      <c r="Q23" s="448">
        <v>2150.77</v>
      </c>
      <c r="R23" s="448">
        <v>2150.77</v>
      </c>
      <c r="S23" s="448">
        <v>2150.77</v>
      </c>
      <c r="T23" s="447">
        <v>2150.77</v>
      </c>
      <c r="U23" s="1978"/>
      <c r="V23" s="630" t="s">
        <v>812</v>
      </c>
    </row>
    <row r="24" spans="1:22" s="446" customFormat="1" ht="15" customHeight="1">
      <c r="A24" s="1976"/>
      <c r="B24" s="1130" t="s">
        <v>143</v>
      </c>
      <c r="C24" s="54"/>
      <c r="D24" s="30"/>
      <c r="E24" s="30"/>
      <c r="F24" s="30"/>
      <c r="G24" s="30"/>
      <c r="H24" s="30"/>
      <c r="I24" s="30"/>
      <c r="J24" s="57">
        <f>SUM(J21:J23)</f>
        <v>4907.01</v>
      </c>
      <c r="K24" s="57">
        <f>SUM(K21:K23)</f>
        <v>5689.5199999999995</v>
      </c>
      <c r="L24" s="114">
        <f>SUM(L21:L23)+0.01</f>
        <v>5720.35</v>
      </c>
      <c r="M24" s="114">
        <f t="shared" ref="M24:T24" si="4">SUM(M21:M23)</f>
        <v>5726.71</v>
      </c>
      <c r="N24" s="445">
        <f t="shared" si="4"/>
        <v>5735.9699999999993</v>
      </c>
      <c r="O24" s="445">
        <f t="shared" si="4"/>
        <v>5735.9699999999993</v>
      </c>
      <c r="P24" s="445">
        <f t="shared" si="4"/>
        <v>6349.08</v>
      </c>
      <c r="Q24" s="445">
        <f t="shared" si="4"/>
        <v>6349.08</v>
      </c>
      <c r="R24" s="445">
        <f t="shared" si="4"/>
        <v>6349.08</v>
      </c>
      <c r="S24" s="445">
        <f t="shared" si="4"/>
        <v>6349.08</v>
      </c>
      <c r="T24" s="445">
        <f t="shared" si="4"/>
        <v>6349.08</v>
      </c>
      <c r="U24" s="1978"/>
      <c r="V24" s="1212" t="s">
        <v>0</v>
      </c>
    </row>
    <row r="25" spans="1:22" ht="15" customHeight="1">
      <c r="A25" s="1976" t="s">
        <v>681</v>
      </c>
      <c r="B25" s="91" t="s">
        <v>818</v>
      </c>
      <c r="C25" s="31"/>
      <c r="D25" s="5"/>
      <c r="E25" s="5"/>
      <c r="F25" s="5"/>
      <c r="G25" s="5"/>
      <c r="H25" s="5"/>
      <c r="I25" s="5"/>
      <c r="J25" s="55">
        <v>3735.23</v>
      </c>
      <c r="K25" s="55">
        <v>3735.23</v>
      </c>
      <c r="L25" s="113">
        <v>3735.23</v>
      </c>
      <c r="M25" s="113">
        <v>3735.23</v>
      </c>
      <c r="N25" s="448">
        <v>3735.23</v>
      </c>
      <c r="O25" s="448">
        <v>4093.53</v>
      </c>
      <c r="P25" s="448">
        <v>4093.53</v>
      </c>
      <c r="Q25" s="448">
        <v>4340</v>
      </c>
      <c r="R25" s="448">
        <v>4340.3500000000004</v>
      </c>
      <c r="S25" s="448">
        <v>4926.92</v>
      </c>
      <c r="T25" s="447">
        <v>4926.92</v>
      </c>
      <c r="U25" s="1985" t="s">
        <v>871</v>
      </c>
      <c r="V25" s="630" t="s">
        <v>816</v>
      </c>
    </row>
    <row r="26" spans="1:22" ht="15" customHeight="1">
      <c r="A26" s="1976"/>
      <c r="B26" s="91" t="s">
        <v>815</v>
      </c>
      <c r="C26" s="31"/>
      <c r="D26" s="5"/>
      <c r="E26" s="5"/>
      <c r="F26" s="5"/>
      <c r="G26" s="5"/>
      <c r="H26" s="5"/>
      <c r="I26" s="5"/>
      <c r="J26" s="55">
        <v>22900.05</v>
      </c>
      <c r="K26" s="55">
        <v>22900.05</v>
      </c>
      <c r="L26" s="113">
        <v>22900.05</v>
      </c>
      <c r="M26" s="113">
        <v>22900.05</v>
      </c>
      <c r="N26" s="448">
        <v>22991.17</v>
      </c>
      <c r="O26" s="448">
        <v>22632.87</v>
      </c>
      <c r="P26" s="448">
        <v>22648.33</v>
      </c>
      <c r="Q26" s="448">
        <v>22500</v>
      </c>
      <c r="R26" s="448">
        <v>22496.63</v>
      </c>
      <c r="S26" s="448">
        <v>21910.06</v>
      </c>
      <c r="T26" s="447">
        <v>21910.06</v>
      </c>
      <c r="U26" s="1978"/>
      <c r="V26" s="630" t="s">
        <v>814</v>
      </c>
    </row>
    <row r="27" spans="1:22" ht="15" customHeight="1">
      <c r="A27" s="1976"/>
      <c r="B27" s="91" t="s">
        <v>813</v>
      </c>
      <c r="C27" s="31"/>
      <c r="D27" s="5"/>
      <c r="E27" s="5"/>
      <c r="F27" s="5"/>
      <c r="G27" s="5"/>
      <c r="H27" s="5"/>
      <c r="I27" s="5"/>
      <c r="J27" s="55">
        <v>7242.85</v>
      </c>
      <c r="K27" s="55">
        <v>7712.43</v>
      </c>
      <c r="L27" s="113">
        <v>7712.43</v>
      </c>
      <c r="M27" s="113">
        <v>8573.6200000000008</v>
      </c>
      <c r="N27" s="448">
        <v>8953.5300000000007</v>
      </c>
      <c r="O27" s="448">
        <v>9055.98</v>
      </c>
      <c r="P27" s="448">
        <v>9392.85</v>
      </c>
      <c r="Q27" s="448">
        <v>9390</v>
      </c>
      <c r="R27" s="448">
        <v>9652.6200000000008</v>
      </c>
      <c r="S27" s="448">
        <v>9652.6200000000008</v>
      </c>
      <c r="T27" s="447">
        <v>9652.6200000000008</v>
      </c>
      <c r="U27" s="1978"/>
      <c r="V27" s="630" t="s">
        <v>812</v>
      </c>
    </row>
    <row r="28" spans="1:22" s="446" customFormat="1" ht="15" customHeight="1" thickBot="1">
      <c r="A28" s="1988"/>
      <c r="B28" s="1623" t="s">
        <v>143</v>
      </c>
      <c r="C28" s="1624"/>
      <c r="D28" s="1625"/>
      <c r="E28" s="1625"/>
      <c r="F28" s="1625"/>
      <c r="G28" s="1625"/>
      <c r="H28" s="1625"/>
      <c r="I28" s="1625"/>
      <c r="J28" s="1626">
        <f t="shared" ref="J28:T28" si="5">SUM(J25:J27)</f>
        <v>33878.129999999997</v>
      </c>
      <c r="K28" s="1626">
        <f t="shared" si="5"/>
        <v>34347.71</v>
      </c>
      <c r="L28" s="1627">
        <f t="shared" si="5"/>
        <v>34347.71</v>
      </c>
      <c r="M28" s="1627">
        <f t="shared" si="5"/>
        <v>35208.9</v>
      </c>
      <c r="N28" s="1628">
        <f t="shared" si="5"/>
        <v>35679.93</v>
      </c>
      <c r="O28" s="1628">
        <f t="shared" si="5"/>
        <v>35782.379999999997</v>
      </c>
      <c r="P28" s="1628">
        <f t="shared" si="5"/>
        <v>36134.71</v>
      </c>
      <c r="Q28" s="1628">
        <f t="shared" si="5"/>
        <v>36230</v>
      </c>
      <c r="R28" s="1628">
        <f t="shared" si="5"/>
        <v>36489.600000000006</v>
      </c>
      <c r="S28" s="1628">
        <f t="shared" si="5"/>
        <v>36489.600000000006</v>
      </c>
      <c r="T28" s="1628">
        <f t="shared" si="5"/>
        <v>36489.600000000006</v>
      </c>
      <c r="U28" s="1986"/>
      <c r="V28" s="1629" t="s">
        <v>0</v>
      </c>
    </row>
    <row r="29" spans="1:22" ht="15" customHeight="1" thickTop="1">
      <c r="A29" s="1975" t="s">
        <v>852</v>
      </c>
      <c r="B29" s="1618" t="s">
        <v>818</v>
      </c>
      <c r="C29" s="1619"/>
      <c r="D29" s="153"/>
      <c r="E29" s="153"/>
      <c r="F29" s="153"/>
      <c r="G29" s="153"/>
      <c r="H29" s="153"/>
      <c r="I29" s="153"/>
      <c r="J29" s="1620">
        <v>0</v>
      </c>
      <c r="K29" s="1620">
        <v>0</v>
      </c>
      <c r="L29" s="186">
        <v>0</v>
      </c>
      <c r="M29" s="186">
        <v>0</v>
      </c>
      <c r="N29" s="1621">
        <v>0</v>
      </c>
      <c r="O29" s="1621">
        <v>0</v>
      </c>
      <c r="P29" s="1621">
        <v>0</v>
      </c>
      <c r="Q29" s="1622">
        <v>0</v>
      </c>
      <c r="R29" s="1622">
        <v>0</v>
      </c>
      <c r="S29" s="1622">
        <v>0</v>
      </c>
      <c r="T29" s="1622">
        <v>0</v>
      </c>
      <c r="U29" s="1977" t="s">
        <v>870</v>
      </c>
      <c r="V29" s="1445" t="s">
        <v>816</v>
      </c>
    </row>
    <row r="30" spans="1:22" ht="15" customHeight="1">
      <c r="A30" s="1976"/>
      <c r="B30" s="91" t="s">
        <v>815</v>
      </c>
      <c r="C30" s="31"/>
      <c r="D30" s="5"/>
      <c r="E30" s="5"/>
      <c r="F30" s="5"/>
      <c r="G30" s="5"/>
      <c r="H30" s="5"/>
      <c r="I30" s="5"/>
      <c r="J30" s="55">
        <v>0.93</v>
      </c>
      <c r="K30" s="55">
        <v>1.1299999999999999</v>
      </c>
      <c r="L30" s="113">
        <v>1.1299999999999999</v>
      </c>
      <c r="M30" s="113">
        <v>1.1299999999999999</v>
      </c>
      <c r="N30" s="448">
        <v>1.1299999999999999</v>
      </c>
      <c r="O30" s="448">
        <v>1.1299999999999999</v>
      </c>
      <c r="P30" s="448">
        <v>1.1299999999999999</v>
      </c>
      <c r="Q30" s="448">
        <v>1.1299999999999999</v>
      </c>
      <c r="R30" s="448">
        <v>1.1299999999999999</v>
      </c>
      <c r="S30" s="448">
        <v>1.1299999999999999</v>
      </c>
      <c r="T30" s="447">
        <v>1.1299999999999999</v>
      </c>
      <c r="U30" s="1978"/>
      <c r="V30" s="630" t="s">
        <v>814</v>
      </c>
    </row>
    <row r="31" spans="1:22" ht="15" customHeight="1">
      <c r="A31" s="1976"/>
      <c r="B31" s="91" t="s">
        <v>813</v>
      </c>
      <c r="C31" s="31"/>
      <c r="D31" s="5"/>
      <c r="E31" s="5"/>
      <c r="F31" s="5"/>
      <c r="G31" s="5"/>
      <c r="H31" s="5"/>
      <c r="I31" s="5"/>
      <c r="J31" s="55">
        <v>0.86</v>
      </c>
      <c r="K31" s="55">
        <v>1.64</v>
      </c>
      <c r="L31" s="113">
        <v>1.64</v>
      </c>
      <c r="M31" s="113">
        <v>1.64</v>
      </c>
      <c r="N31" s="448">
        <v>1.64</v>
      </c>
      <c r="O31" s="448">
        <v>2.8</v>
      </c>
      <c r="P31" s="448">
        <v>2.8</v>
      </c>
      <c r="Q31" s="448">
        <v>2.8</v>
      </c>
      <c r="R31" s="448">
        <v>2.8</v>
      </c>
      <c r="S31" s="448">
        <v>2.8</v>
      </c>
      <c r="T31" s="447">
        <v>2.8</v>
      </c>
      <c r="U31" s="1978"/>
      <c r="V31" s="630" t="s">
        <v>812</v>
      </c>
    </row>
    <row r="32" spans="1:22" s="446" customFormat="1" ht="15" customHeight="1">
      <c r="A32" s="1976"/>
      <c r="B32" s="1130" t="s">
        <v>143</v>
      </c>
      <c r="C32" s="54"/>
      <c r="D32" s="30"/>
      <c r="E32" s="30"/>
      <c r="F32" s="30"/>
      <c r="G32" s="30"/>
      <c r="H32" s="30"/>
      <c r="I32" s="30"/>
      <c r="J32" s="57">
        <f t="shared" ref="J32:O32" si="6">SUM(J29:J31)</f>
        <v>1.79</v>
      </c>
      <c r="K32" s="57">
        <f t="shared" si="6"/>
        <v>2.7699999999999996</v>
      </c>
      <c r="L32" s="114">
        <f t="shared" si="6"/>
        <v>2.7699999999999996</v>
      </c>
      <c r="M32" s="114">
        <f t="shared" si="6"/>
        <v>2.7699999999999996</v>
      </c>
      <c r="N32" s="445">
        <f t="shared" si="6"/>
        <v>2.7699999999999996</v>
      </c>
      <c r="O32" s="445">
        <f t="shared" si="6"/>
        <v>3.9299999999999997</v>
      </c>
      <c r="P32" s="445">
        <v>3.93</v>
      </c>
      <c r="Q32" s="445">
        <v>3.93</v>
      </c>
      <c r="R32" s="445">
        <v>3.93</v>
      </c>
      <c r="S32" s="445">
        <v>3.93</v>
      </c>
      <c r="T32" s="445">
        <v>3.93</v>
      </c>
      <c r="U32" s="1978"/>
      <c r="V32" s="1212" t="s">
        <v>0</v>
      </c>
    </row>
    <row r="33" spans="1:22" ht="15" customHeight="1">
      <c r="A33" s="1979" t="s">
        <v>869</v>
      </c>
      <c r="B33" s="1130" t="s">
        <v>818</v>
      </c>
      <c r="C33" s="54"/>
      <c r="D33" s="30"/>
      <c r="E33" s="30"/>
      <c r="F33" s="30"/>
      <c r="G33" s="30"/>
      <c r="H33" s="30"/>
      <c r="I33" s="30"/>
      <c r="J33" s="57">
        <f t="shared" ref="J33:Q35" si="7">SUMIF($V$5:$V$32,$V33,J$5:J$32)</f>
        <v>6180.9</v>
      </c>
      <c r="K33" s="57">
        <f t="shared" si="7"/>
        <v>6180.9</v>
      </c>
      <c r="L33" s="114">
        <f t="shared" si="7"/>
        <v>6180.9</v>
      </c>
      <c r="M33" s="114">
        <f t="shared" si="7"/>
        <v>6182.41</v>
      </c>
      <c r="N33" s="445">
        <f t="shared" si="7"/>
        <v>6182.41</v>
      </c>
      <c r="O33" s="445">
        <f t="shared" si="7"/>
        <v>6540.7100000000009</v>
      </c>
      <c r="P33" s="445">
        <f t="shared" si="7"/>
        <v>6540.7100000000009</v>
      </c>
      <c r="Q33" s="445">
        <f t="shared" si="7"/>
        <v>6787.18</v>
      </c>
      <c r="R33" s="445">
        <f t="shared" ref="R33:T34" si="8">R29+R25+R21+R17+R13+R9+R5</f>
        <v>6787.5300000000007</v>
      </c>
      <c r="S33" s="445">
        <f t="shared" si="8"/>
        <v>7374.1</v>
      </c>
      <c r="T33" s="445">
        <f t="shared" si="8"/>
        <v>7374.0999999999995</v>
      </c>
      <c r="U33" s="1981" t="s">
        <v>868</v>
      </c>
      <c r="V33" s="1212" t="s">
        <v>816</v>
      </c>
    </row>
    <row r="34" spans="1:22" ht="15" customHeight="1">
      <c r="A34" s="1980"/>
      <c r="B34" s="1130" t="s">
        <v>815</v>
      </c>
      <c r="C34" s="54"/>
      <c r="D34" s="30"/>
      <c r="E34" s="30"/>
      <c r="F34" s="30"/>
      <c r="G34" s="30"/>
      <c r="H34" s="30"/>
      <c r="I34" s="30"/>
      <c r="J34" s="57">
        <f t="shared" si="7"/>
        <v>25763.13</v>
      </c>
      <c r="K34" s="57">
        <f t="shared" si="7"/>
        <v>26282.670000000002</v>
      </c>
      <c r="L34" s="114">
        <f t="shared" si="7"/>
        <v>26282.670000000002</v>
      </c>
      <c r="M34" s="114">
        <f t="shared" si="7"/>
        <v>26281.58</v>
      </c>
      <c r="N34" s="445">
        <f t="shared" si="7"/>
        <v>26372.7</v>
      </c>
      <c r="O34" s="445">
        <f t="shared" si="7"/>
        <v>26014.400000000001</v>
      </c>
      <c r="P34" s="445">
        <f t="shared" si="7"/>
        <v>26388.800000000003</v>
      </c>
      <c r="Q34" s="445">
        <f t="shared" si="7"/>
        <v>26240.47</v>
      </c>
      <c r="R34" s="445">
        <f t="shared" si="8"/>
        <v>26237.100000000002</v>
      </c>
      <c r="S34" s="445">
        <f t="shared" si="8"/>
        <v>25650.530000000002</v>
      </c>
      <c r="T34" s="445">
        <f t="shared" si="8"/>
        <v>25650.530000000002</v>
      </c>
      <c r="U34" s="1981"/>
      <c r="V34" s="1212" t="s">
        <v>814</v>
      </c>
    </row>
    <row r="35" spans="1:22" ht="15" customHeight="1">
      <c r="A35" s="1980"/>
      <c r="B35" s="1130" t="s">
        <v>813</v>
      </c>
      <c r="C35" s="54"/>
      <c r="D35" s="30"/>
      <c r="E35" s="30"/>
      <c r="F35" s="30"/>
      <c r="G35" s="30"/>
      <c r="H35" s="30"/>
      <c r="I35" s="30"/>
      <c r="J35" s="57">
        <f t="shared" si="7"/>
        <v>10018.760000000002</v>
      </c>
      <c r="K35" s="57">
        <f t="shared" si="7"/>
        <v>10752.29</v>
      </c>
      <c r="L35" s="114">
        <f t="shared" si="7"/>
        <v>10783.11</v>
      </c>
      <c r="M35" s="114">
        <f t="shared" si="7"/>
        <v>11650.25</v>
      </c>
      <c r="N35" s="445">
        <f t="shared" si="7"/>
        <v>12039.42</v>
      </c>
      <c r="O35" s="445">
        <f t="shared" si="7"/>
        <v>12143.029999999999</v>
      </c>
      <c r="P35" s="445">
        <f t="shared" si="7"/>
        <v>12734.07</v>
      </c>
      <c r="Q35" s="445">
        <f t="shared" si="7"/>
        <v>12731.22</v>
      </c>
      <c r="R35" s="445">
        <f>SUMIF($V$5:$V$32,$V35,R$5:R$32)</f>
        <v>12993.84</v>
      </c>
      <c r="S35" s="445">
        <f>S31+S27+S23+S19+S15+S11+S7</f>
        <v>12993.84</v>
      </c>
      <c r="T35" s="445">
        <f>T31+T27+T23+T19+T15+T11+T7</f>
        <v>12993.84</v>
      </c>
      <c r="U35" s="1981"/>
      <c r="V35" s="1212" t="s">
        <v>812</v>
      </c>
    </row>
    <row r="36" spans="1:22" ht="15" customHeight="1">
      <c r="A36" s="1980"/>
      <c r="B36" s="1130" t="s">
        <v>143</v>
      </c>
      <c r="C36" s="54"/>
      <c r="D36" s="30"/>
      <c r="E36" s="30"/>
      <c r="F36" s="30"/>
      <c r="G36" s="30"/>
      <c r="H36" s="30"/>
      <c r="I36" s="30"/>
      <c r="J36" s="57">
        <f t="shared" ref="J36:T36" si="9">SUM(J33:J35)</f>
        <v>41962.79</v>
      </c>
      <c r="K36" s="57">
        <f t="shared" si="9"/>
        <v>43215.86</v>
      </c>
      <c r="L36" s="114">
        <f t="shared" si="9"/>
        <v>43246.68</v>
      </c>
      <c r="M36" s="114">
        <f t="shared" si="9"/>
        <v>44114.240000000005</v>
      </c>
      <c r="N36" s="445">
        <f t="shared" si="9"/>
        <v>44594.53</v>
      </c>
      <c r="O36" s="445">
        <f t="shared" si="9"/>
        <v>44698.14</v>
      </c>
      <c r="P36" s="445">
        <f t="shared" si="9"/>
        <v>45663.58</v>
      </c>
      <c r="Q36" s="445">
        <f t="shared" si="9"/>
        <v>45758.87</v>
      </c>
      <c r="R36" s="445">
        <f t="shared" si="9"/>
        <v>46018.47</v>
      </c>
      <c r="S36" s="445">
        <f t="shared" si="9"/>
        <v>46018.47</v>
      </c>
      <c r="T36" s="445">
        <f t="shared" si="9"/>
        <v>46018.47</v>
      </c>
      <c r="U36" s="1981"/>
      <c r="V36" s="1212" t="s">
        <v>0</v>
      </c>
    </row>
    <row r="37" spans="1:22" ht="6.75" customHeight="1">
      <c r="A37" s="444"/>
      <c r="B37" s="33"/>
      <c r="C37" s="33"/>
      <c r="D37" s="33"/>
      <c r="E37" s="33"/>
      <c r="F37" s="33"/>
      <c r="G37" s="33"/>
      <c r="H37" s="33"/>
      <c r="I37" s="33"/>
      <c r="J37" s="437">
        <f>J5+J9+J13+J17+J21+J25+J29</f>
        <v>6180.9</v>
      </c>
      <c r="K37" s="437">
        <f>K5+K9+K13+K17+K21+K25+K29</f>
        <v>6180.9</v>
      </c>
      <c r="L37" s="437"/>
      <c r="M37" s="437"/>
      <c r="N37" s="437"/>
      <c r="O37" s="437"/>
      <c r="P37" s="437"/>
      <c r="Q37" s="437"/>
      <c r="R37" s="437"/>
      <c r="S37" s="437"/>
      <c r="T37" s="437"/>
      <c r="U37" s="51"/>
      <c r="V37" s="443"/>
    </row>
    <row r="38" spans="1:22" ht="30" customHeight="1">
      <c r="A38" s="1982" t="s">
        <v>867</v>
      </c>
      <c r="B38" s="1983"/>
      <c r="C38" s="1983"/>
      <c r="D38" s="1983"/>
      <c r="E38" s="1983"/>
      <c r="F38" s="1983"/>
      <c r="G38" s="1983"/>
      <c r="H38" s="1983"/>
      <c r="I38" s="1983"/>
      <c r="J38" s="1983"/>
      <c r="K38" s="1983"/>
      <c r="L38" s="1983"/>
      <c r="M38" s="1983"/>
      <c r="N38" s="1983"/>
      <c r="O38" s="1983"/>
      <c r="P38" s="1983"/>
      <c r="Q38" s="1983"/>
      <c r="R38" s="1983"/>
      <c r="S38" s="1983"/>
      <c r="T38" s="1983"/>
      <c r="U38" s="1983"/>
      <c r="V38" s="1984"/>
    </row>
    <row r="39" spans="1:22" ht="14.25" customHeight="1">
      <c r="A39" s="1136" t="s">
        <v>866</v>
      </c>
      <c r="B39" s="33"/>
      <c r="C39" s="33"/>
      <c r="D39" s="33"/>
      <c r="E39" s="33"/>
      <c r="F39" s="33"/>
      <c r="G39" s="33"/>
      <c r="H39" s="33"/>
      <c r="I39" s="33"/>
      <c r="J39" s="437">
        <f>J8+J12+J16+J20+J24+J28+J32</f>
        <v>41962.79</v>
      </c>
      <c r="K39" s="437">
        <f>K8+K12+K16+K20+K24+K28+K32</f>
        <v>43215.859999999993</v>
      </c>
      <c r="L39" s="437"/>
      <c r="M39" s="437"/>
      <c r="N39" s="437"/>
      <c r="O39" s="437"/>
      <c r="P39" s="437"/>
      <c r="Q39" s="437"/>
      <c r="R39" s="437"/>
      <c r="S39" s="437"/>
      <c r="T39" s="437"/>
      <c r="U39" s="51"/>
      <c r="V39" s="443"/>
    </row>
    <row r="40" spans="1:22" ht="14.25" customHeight="1" thickBot="1">
      <c r="A40" s="442" t="s">
        <v>636</v>
      </c>
      <c r="B40" s="441"/>
      <c r="C40" s="441"/>
      <c r="D40" s="441"/>
      <c r="E40" s="441"/>
      <c r="F40" s="441"/>
      <c r="G40" s="441"/>
      <c r="H40" s="441"/>
      <c r="I40" s="441"/>
      <c r="J40" s="440">
        <f>J37-J33</f>
        <v>0</v>
      </c>
      <c r="K40" s="440">
        <f>K37-K33</f>
        <v>0</v>
      </c>
      <c r="L40" s="440"/>
      <c r="M40" s="440"/>
      <c r="N40" s="440"/>
      <c r="O40" s="440"/>
      <c r="P40" s="440"/>
      <c r="Q40" s="440"/>
      <c r="R40" s="440"/>
      <c r="S40" s="440"/>
      <c r="T40" s="440"/>
      <c r="U40" s="439"/>
      <c r="V40" s="438"/>
    </row>
    <row r="41" spans="1:22" ht="14.25" customHeight="1" thickTop="1">
      <c r="A41" s="51"/>
      <c r="B41" s="33"/>
      <c r="C41" s="33"/>
      <c r="D41" s="33"/>
      <c r="E41" s="33"/>
      <c r="F41" s="33"/>
      <c r="G41" s="33"/>
      <c r="H41" s="33"/>
      <c r="I41" s="33"/>
      <c r="J41" s="437">
        <f>J38-J34</f>
        <v>-25763.13</v>
      </c>
      <c r="K41" s="437">
        <f>K38-K34</f>
        <v>-26282.670000000002</v>
      </c>
      <c r="L41" s="437"/>
      <c r="M41" s="437"/>
      <c r="N41" s="437"/>
      <c r="O41" s="437"/>
      <c r="P41" s="437"/>
      <c r="Q41" s="437"/>
      <c r="R41" s="437"/>
      <c r="S41" s="437"/>
      <c r="T41" s="437"/>
      <c r="U41" s="51"/>
      <c r="V41" s="51"/>
    </row>
    <row r="42" spans="1:22" ht="14.25" customHeight="1">
      <c r="A42" s="51"/>
      <c r="B42" s="33"/>
      <c r="C42" s="33"/>
      <c r="D42" s="33"/>
      <c r="E42" s="33"/>
      <c r="F42" s="33"/>
      <c r="G42" s="33"/>
      <c r="H42" s="33"/>
      <c r="I42" s="33"/>
      <c r="J42" s="437" t="e">
        <f>#REF!-J35</f>
        <v>#REF!</v>
      </c>
      <c r="K42" s="437" t="e">
        <f>#REF!-K35</f>
        <v>#REF!</v>
      </c>
      <c r="L42" s="437"/>
      <c r="M42" s="437"/>
      <c r="N42" s="437"/>
      <c r="O42" s="437"/>
      <c r="P42" s="437"/>
      <c r="Q42" s="437"/>
      <c r="R42" s="437"/>
      <c r="S42" s="437"/>
      <c r="T42" s="437"/>
      <c r="U42" s="51"/>
      <c r="V42" s="51"/>
    </row>
    <row r="43" spans="1:22" ht="14.25" customHeight="1">
      <c r="A43" s="51"/>
      <c r="B43" s="33"/>
      <c r="C43" s="33"/>
      <c r="D43" s="33"/>
      <c r="E43" s="33"/>
      <c r="F43" s="33"/>
      <c r="G43" s="33"/>
      <c r="H43" s="33"/>
      <c r="I43" s="33"/>
      <c r="J43" s="437">
        <f>J39-J36</f>
        <v>0</v>
      </c>
      <c r="K43" s="437">
        <f>K39-K36</f>
        <v>0</v>
      </c>
      <c r="L43" s="437"/>
      <c r="M43" s="437"/>
      <c r="N43" s="437"/>
      <c r="O43" s="437"/>
      <c r="P43" s="437"/>
      <c r="Q43" s="437"/>
      <c r="R43" s="437"/>
      <c r="S43" s="437"/>
      <c r="T43" s="437"/>
      <c r="U43" s="51"/>
      <c r="V43" s="51"/>
    </row>
    <row r="44" spans="1:22">
      <c r="A44" s="436"/>
      <c r="L44" s="436"/>
      <c r="U44" s="436"/>
    </row>
  </sheetData>
  <mergeCells count="23">
    <mergeCell ref="A1:V1"/>
    <mergeCell ref="A3:A4"/>
    <mergeCell ref="B3:B4"/>
    <mergeCell ref="J3:S3"/>
    <mergeCell ref="U3:U4"/>
    <mergeCell ref="V3:V4"/>
    <mergeCell ref="U25:U28"/>
    <mergeCell ref="A5:A8"/>
    <mergeCell ref="U5:U8"/>
    <mergeCell ref="A9:A12"/>
    <mergeCell ref="U9:U12"/>
    <mergeCell ref="A13:A16"/>
    <mergeCell ref="U13:U16"/>
    <mergeCell ref="A17:A20"/>
    <mergeCell ref="U17:U20"/>
    <mergeCell ref="A21:A24"/>
    <mergeCell ref="U21:U24"/>
    <mergeCell ref="A25:A28"/>
    <mergeCell ref="A29:A32"/>
    <mergeCell ref="U29:U32"/>
    <mergeCell ref="A33:A36"/>
    <mergeCell ref="U33:U36"/>
    <mergeCell ref="A38:V38"/>
  </mergeCells>
  <conditionalFormatting sqref="A5:V36 Y5:XFD36">
    <cfRule type="expression" dxfId="102" priority="1">
      <formula>MOD(ROW(),3)=1</formula>
    </cfRule>
  </conditionalFormatting>
  <printOptions horizontalCentered="1"/>
  <pageMargins left="0.23622047244094491" right="0.23622047244094491" top="0.74803149606299213" bottom="0.74803149606299213" header="0.31496062992125984" footer="0.31496062992125984"/>
  <pageSetup paperSize="9" firstPageNumber="90" fitToHeight="0" pageOrder="overThenDown" orientation="landscape" r:id="rId1"/>
  <rowBreaks count="1" manualBreakCount="1">
    <brk id="28" max="21"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EC624-18EC-4B15-804D-4E140187C7BF}">
  <sheetPr>
    <pageSetUpPr fitToPage="1"/>
  </sheetPr>
  <dimension ref="A1:P57"/>
  <sheetViews>
    <sheetView view="pageBreakPreview" zoomScaleSheetLayoutView="100" workbookViewId="0">
      <selection activeCell="S17" sqref="S17"/>
    </sheetView>
  </sheetViews>
  <sheetFormatPr defaultRowHeight="15"/>
  <cols>
    <col min="1" max="1" width="14.7109375" style="451" customWidth="1"/>
    <col min="2" max="2" width="9.85546875" style="451" customWidth="1"/>
    <col min="3" max="3" width="10.5703125" style="1" customWidth="1"/>
    <col min="4" max="4" width="8.42578125" style="1" bestFit="1" customWidth="1"/>
    <col min="5" max="5" width="7.7109375" style="1" bestFit="1" customWidth="1"/>
    <col min="6" max="6" width="8.42578125" style="1" bestFit="1" customWidth="1"/>
    <col min="7" max="7" width="10" style="1" customWidth="1"/>
    <col min="8" max="8" width="7.42578125" style="1" bestFit="1" customWidth="1"/>
    <col min="9" max="9" width="8.140625" style="1" bestFit="1" customWidth="1"/>
    <col min="10" max="10" width="12.85546875" style="1" bestFit="1" customWidth="1"/>
    <col min="11" max="11" width="11.7109375" style="1" customWidth="1"/>
    <col min="12" max="255" width="9.140625" style="1"/>
    <col min="256" max="256" width="14.7109375" style="1" customWidth="1"/>
    <col min="257" max="257" width="7.85546875" style="1" bestFit="1" customWidth="1"/>
    <col min="258" max="258" width="10.5703125" style="1" customWidth="1"/>
    <col min="259" max="259" width="8.42578125" style="1" bestFit="1" customWidth="1"/>
    <col min="260" max="260" width="7.7109375" style="1" bestFit="1" customWidth="1"/>
    <col min="261" max="261" width="8.42578125" style="1" bestFit="1" customWidth="1"/>
    <col min="262" max="262" width="8.7109375" style="1" bestFit="1" customWidth="1"/>
    <col min="263" max="263" width="7.85546875" style="1" bestFit="1" customWidth="1"/>
    <col min="264" max="264" width="8.140625" style="1" bestFit="1" customWidth="1"/>
    <col min="265" max="265" width="13.140625" style="1" bestFit="1" customWidth="1"/>
    <col min="266" max="266" width="9" style="1" customWidth="1"/>
    <col min="267" max="511" width="9.140625" style="1"/>
    <col min="512" max="512" width="14.7109375" style="1" customWidth="1"/>
    <col min="513" max="513" width="7.85546875" style="1" bestFit="1" customWidth="1"/>
    <col min="514" max="514" width="10.5703125" style="1" customWidth="1"/>
    <col min="515" max="515" width="8.42578125" style="1" bestFit="1" customWidth="1"/>
    <col min="516" max="516" width="7.7109375" style="1" bestFit="1" customWidth="1"/>
    <col min="517" max="517" width="8.42578125" style="1" bestFit="1" customWidth="1"/>
    <col min="518" max="518" width="8.7109375" style="1" bestFit="1" customWidth="1"/>
    <col min="519" max="519" width="7.85546875" style="1" bestFit="1" customWidth="1"/>
    <col min="520" max="520" width="8.140625" style="1" bestFit="1" customWidth="1"/>
    <col min="521" max="521" width="13.140625" style="1" bestFit="1" customWidth="1"/>
    <col min="522" max="522" width="9" style="1" customWidth="1"/>
    <col min="523" max="767" width="9.140625" style="1"/>
    <col min="768" max="768" width="14.7109375" style="1" customWidth="1"/>
    <col min="769" max="769" width="7.85546875" style="1" bestFit="1" customWidth="1"/>
    <col min="770" max="770" width="10.5703125" style="1" customWidth="1"/>
    <col min="771" max="771" width="8.42578125" style="1" bestFit="1" customWidth="1"/>
    <col min="772" max="772" width="7.7109375" style="1" bestFit="1" customWidth="1"/>
    <col min="773" max="773" width="8.42578125" style="1" bestFit="1" customWidth="1"/>
    <col min="774" max="774" width="8.7109375" style="1" bestFit="1" customWidth="1"/>
    <col min="775" max="775" width="7.85546875" style="1" bestFit="1" customWidth="1"/>
    <col min="776" max="776" width="8.140625" style="1" bestFit="1" customWidth="1"/>
    <col min="777" max="777" width="13.140625" style="1" bestFit="1" customWidth="1"/>
    <col min="778" max="778" width="9" style="1" customWidth="1"/>
    <col min="779" max="1023" width="9.140625" style="1"/>
    <col min="1024" max="1024" width="14.7109375" style="1" customWidth="1"/>
    <col min="1025" max="1025" width="7.85546875" style="1" bestFit="1" customWidth="1"/>
    <col min="1026" max="1026" width="10.5703125" style="1" customWidth="1"/>
    <col min="1027" max="1027" width="8.42578125" style="1" bestFit="1" customWidth="1"/>
    <col min="1028" max="1028" width="7.7109375" style="1" bestFit="1" customWidth="1"/>
    <col min="1029" max="1029" width="8.42578125" style="1" bestFit="1" customWidth="1"/>
    <col min="1030" max="1030" width="8.7109375" style="1" bestFit="1" customWidth="1"/>
    <col min="1031" max="1031" width="7.85546875" style="1" bestFit="1" customWidth="1"/>
    <col min="1032" max="1032" width="8.140625" style="1" bestFit="1" customWidth="1"/>
    <col min="1033" max="1033" width="13.140625" style="1" bestFit="1" customWidth="1"/>
    <col min="1034" max="1034" width="9" style="1" customWidth="1"/>
    <col min="1035" max="1279" width="9.140625" style="1"/>
    <col min="1280" max="1280" width="14.7109375" style="1" customWidth="1"/>
    <col min="1281" max="1281" width="7.85546875" style="1" bestFit="1" customWidth="1"/>
    <col min="1282" max="1282" width="10.5703125" style="1" customWidth="1"/>
    <col min="1283" max="1283" width="8.42578125" style="1" bestFit="1" customWidth="1"/>
    <col min="1284" max="1284" width="7.7109375" style="1" bestFit="1" customWidth="1"/>
    <col min="1285" max="1285" width="8.42578125" style="1" bestFit="1" customWidth="1"/>
    <col min="1286" max="1286" width="8.7109375" style="1" bestFit="1" customWidth="1"/>
    <col min="1287" max="1287" width="7.85546875" style="1" bestFit="1" customWidth="1"/>
    <col min="1288" max="1288" width="8.140625" style="1" bestFit="1" customWidth="1"/>
    <col min="1289" max="1289" width="13.140625" style="1" bestFit="1" customWidth="1"/>
    <col min="1290" max="1290" width="9" style="1" customWidth="1"/>
    <col min="1291" max="1535" width="9.140625" style="1"/>
    <col min="1536" max="1536" width="14.7109375" style="1" customWidth="1"/>
    <col min="1537" max="1537" width="7.85546875" style="1" bestFit="1" customWidth="1"/>
    <col min="1538" max="1538" width="10.5703125" style="1" customWidth="1"/>
    <col min="1539" max="1539" width="8.42578125" style="1" bestFit="1" customWidth="1"/>
    <col min="1540" max="1540" width="7.7109375" style="1" bestFit="1" customWidth="1"/>
    <col min="1541" max="1541" width="8.42578125" style="1" bestFit="1" customWidth="1"/>
    <col min="1542" max="1542" width="8.7109375" style="1" bestFit="1" customWidth="1"/>
    <col min="1543" max="1543" width="7.85546875" style="1" bestFit="1" customWidth="1"/>
    <col min="1544" max="1544" width="8.140625" style="1" bestFit="1" customWidth="1"/>
    <col min="1545" max="1545" width="13.140625" style="1" bestFit="1" customWidth="1"/>
    <col min="1546" max="1546" width="9" style="1" customWidth="1"/>
    <col min="1547" max="1791" width="9.140625" style="1"/>
    <col min="1792" max="1792" width="14.7109375" style="1" customWidth="1"/>
    <col min="1793" max="1793" width="7.85546875" style="1" bestFit="1" customWidth="1"/>
    <col min="1794" max="1794" width="10.5703125" style="1" customWidth="1"/>
    <col min="1795" max="1795" width="8.42578125" style="1" bestFit="1" customWidth="1"/>
    <col min="1796" max="1796" width="7.7109375" style="1" bestFit="1" customWidth="1"/>
    <col min="1797" max="1797" width="8.42578125" style="1" bestFit="1" customWidth="1"/>
    <col min="1798" max="1798" width="8.7109375" style="1" bestFit="1" customWidth="1"/>
    <col min="1799" max="1799" width="7.85546875" style="1" bestFit="1" customWidth="1"/>
    <col min="1800" max="1800" width="8.140625" style="1" bestFit="1" customWidth="1"/>
    <col min="1801" max="1801" width="13.140625" style="1" bestFit="1" customWidth="1"/>
    <col min="1802" max="1802" width="9" style="1" customWidth="1"/>
    <col min="1803" max="2047" width="9.140625" style="1"/>
    <col min="2048" max="2048" width="14.7109375" style="1" customWidth="1"/>
    <col min="2049" max="2049" width="7.85546875" style="1" bestFit="1" customWidth="1"/>
    <col min="2050" max="2050" width="10.5703125" style="1" customWidth="1"/>
    <col min="2051" max="2051" width="8.42578125" style="1" bestFit="1" customWidth="1"/>
    <col min="2052" max="2052" width="7.7109375" style="1" bestFit="1" customWidth="1"/>
    <col min="2053" max="2053" width="8.42578125" style="1" bestFit="1" customWidth="1"/>
    <col min="2054" max="2054" width="8.7109375" style="1" bestFit="1" customWidth="1"/>
    <col min="2055" max="2055" width="7.85546875" style="1" bestFit="1" customWidth="1"/>
    <col min="2056" max="2056" width="8.140625" style="1" bestFit="1" customWidth="1"/>
    <col min="2057" max="2057" width="13.140625" style="1" bestFit="1" customWidth="1"/>
    <col min="2058" max="2058" width="9" style="1" customWidth="1"/>
    <col min="2059" max="2303" width="9.140625" style="1"/>
    <col min="2304" max="2304" width="14.7109375" style="1" customWidth="1"/>
    <col min="2305" max="2305" width="7.85546875" style="1" bestFit="1" customWidth="1"/>
    <col min="2306" max="2306" width="10.5703125" style="1" customWidth="1"/>
    <col min="2307" max="2307" width="8.42578125" style="1" bestFit="1" customWidth="1"/>
    <col min="2308" max="2308" width="7.7109375" style="1" bestFit="1" customWidth="1"/>
    <col min="2309" max="2309" width="8.42578125" style="1" bestFit="1" customWidth="1"/>
    <col min="2310" max="2310" width="8.7109375" style="1" bestFit="1" customWidth="1"/>
    <col min="2311" max="2311" width="7.85546875" style="1" bestFit="1" customWidth="1"/>
    <col min="2312" max="2312" width="8.140625" style="1" bestFit="1" customWidth="1"/>
    <col min="2313" max="2313" width="13.140625" style="1" bestFit="1" customWidth="1"/>
    <col min="2314" max="2314" width="9" style="1" customWidth="1"/>
    <col min="2315" max="2559" width="9.140625" style="1"/>
    <col min="2560" max="2560" width="14.7109375" style="1" customWidth="1"/>
    <col min="2561" max="2561" width="7.85546875" style="1" bestFit="1" customWidth="1"/>
    <col min="2562" max="2562" width="10.5703125" style="1" customWidth="1"/>
    <col min="2563" max="2563" width="8.42578125" style="1" bestFit="1" customWidth="1"/>
    <col min="2564" max="2564" width="7.7109375" style="1" bestFit="1" customWidth="1"/>
    <col min="2565" max="2565" width="8.42578125" style="1" bestFit="1" customWidth="1"/>
    <col min="2566" max="2566" width="8.7109375" style="1" bestFit="1" customWidth="1"/>
    <col min="2567" max="2567" width="7.85546875" style="1" bestFit="1" customWidth="1"/>
    <col min="2568" max="2568" width="8.140625" style="1" bestFit="1" customWidth="1"/>
    <col min="2569" max="2569" width="13.140625" style="1" bestFit="1" customWidth="1"/>
    <col min="2570" max="2570" width="9" style="1" customWidth="1"/>
    <col min="2571" max="2815" width="9.140625" style="1"/>
    <col min="2816" max="2816" width="14.7109375" style="1" customWidth="1"/>
    <col min="2817" max="2817" width="7.85546875" style="1" bestFit="1" customWidth="1"/>
    <col min="2818" max="2818" width="10.5703125" style="1" customWidth="1"/>
    <col min="2819" max="2819" width="8.42578125" style="1" bestFit="1" customWidth="1"/>
    <col min="2820" max="2820" width="7.7109375" style="1" bestFit="1" customWidth="1"/>
    <col min="2821" max="2821" width="8.42578125" style="1" bestFit="1" customWidth="1"/>
    <col min="2822" max="2822" width="8.7109375" style="1" bestFit="1" customWidth="1"/>
    <col min="2823" max="2823" width="7.85546875" style="1" bestFit="1" customWidth="1"/>
    <col min="2824" max="2824" width="8.140625" style="1" bestFit="1" customWidth="1"/>
    <col min="2825" max="2825" width="13.140625" style="1" bestFit="1" customWidth="1"/>
    <col min="2826" max="2826" width="9" style="1" customWidth="1"/>
    <col min="2827" max="3071" width="9.140625" style="1"/>
    <col min="3072" max="3072" width="14.7109375" style="1" customWidth="1"/>
    <col min="3073" max="3073" width="7.85546875" style="1" bestFit="1" customWidth="1"/>
    <col min="3074" max="3074" width="10.5703125" style="1" customWidth="1"/>
    <col min="3075" max="3075" width="8.42578125" style="1" bestFit="1" customWidth="1"/>
    <col min="3076" max="3076" width="7.7109375" style="1" bestFit="1" customWidth="1"/>
    <col min="3077" max="3077" width="8.42578125" style="1" bestFit="1" customWidth="1"/>
    <col min="3078" max="3078" width="8.7109375" style="1" bestFit="1" customWidth="1"/>
    <col min="3079" max="3079" width="7.85546875" style="1" bestFit="1" customWidth="1"/>
    <col min="3080" max="3080" width="8.140625" style="1" bestFit="1" customWidth="1"/>
    <col min="3081" max="3081" width="13.140625" style="1" bestFit="1" customWidth="1"/>
    <col min="3082" max="3082" width="9" style="1" customWidth="1"/>
    <col min="3083" max="3327" width="9.140625" style="1"/>
    <col min="3328" max="3328" width="14.7109375" style="1" customWidth="1"/>
    <col min="3329" max="3329" width="7.85546875" style="1" bestFit="1" customWidth="1"/>
    <col min="3330" max="3330" width="10.5703125" style="1" customWidth="1"/>
    <col min="3331" max="3331" width="8.42578125" style="1" bestFit="1" customWidth="1"/>
    <col min="3332" max="3332" width="7.7109375" style="1" bestFit="1" customWidth="1"/>
    <col min="3333" max="3333" width="8.42578125" style="1" bestFit="1" customWidth="1"/>
    <col min="3334" max="3334" width="8.7109375" style="1" bestFit="1" customWidth="1"/>
    <col min="3335" max="3335" width="7.85546875" style="1" bestFit="1" customWidth="1"/>
    <col min="3336" max="3336" width="8.140625" style="1" bestFit="1" customWidth="1"/>
    <col min="3337" max="3337" width="13.140625" style="1" bestFit="1" customWidth="1"/>
    <col min="3338" max="3338" width="9" style="1" customWidth="1"/>
    <col min="3339" max="3583" width="9.140625" style="1"/>
    <col min="3584" max="3584" width="14.7109375" style="1" customWidth="1"/>
    <col min="3585" max="3585" width="7.85546875" style="1" bestFit="1" customWidth="1"/>
    <col min="3586" max="3586" width="10.5703125" style="1" customWidth="1"/>
    <col min="3587" max="3587" width="8.42578125" style="1" bestFit="1" customWidth="1"/>
    <col min="3588" max="3588" width="7.7109375" style="1" bestFit="1" customWidth="1"/>
    <col min="3589" max="3589" width="8.42578125" style="1" bestFit="1" customWidth="1"/>
    <col min="3590" max="3590" width="8.7109375" style="1" bestFit="1" customWidth="1"/>
    <col min="3591" max="3591" width="7.85546875" style="1" bestFit="1" customWidth="1"/>
    <col min="3592" max="3592" width="8.140625" style="1" bestFit="1" customWidth="1"/>
    <col min="3593" max="3593" width="13.140625" style="1" bestFit="1" customWidth="1"/>
    <col min="3594" max="3594" width="9" style="1" customWidth="1"/>
    <col min="3595" max="3839" width="9.140625" style="1"/>
    <col min="3840" max="3840" width="14.7109375" style="1" customWidth="1"/>
    <col min="3841" max="3841" width="7.85546875" style="1" bestFit="1" customWidth="1"/>
    <col min="3842" max="3842" width="10.5703125" style="1" customWidth="1"/>
    <col min="3843" max="3843" width="8.42578125" style="1" bestFit="1" customWidth="1"/>
    <col min="3844" max="3844" width="7.7109375" style="1" bestFit="1" customWidth="1"/>
    <col min="3845" max="3845" width="8.42578125" style="1" bestFit="1" customWidth="1"/>
    <col min="3846" max="3846" width="8.7109375" style="1" bestFit="1" customWidth="1"/>
    <col min="3847" max="3847" width="7.85546875" style="1" bestFit="1" customWidth="1"/>
    <col min="3848" max="3848" width="8.140625" style="1" bestFit="1" customWidth="1"/>
    <col min="3849" max="3849" width="13.140625" style="1" bestFit="1" customWidth="1"/>
    <col min="3850" max="3850" width="9" style="1" customWidth="1"/>
    <col min="3851" max="4095" width="9.140625" style="1"/>
    <col min="4096" max="4096" width="14.7109375" style="1" customWidth="1"/>
    <col min="4097" max="4097" width="7.85546875" style="1" bestFit="1" customWidth="1"/>
    <col min="4098" max="4098" width="10.5703125" style="1" customWidth="1"/>
    <col min="4099" max="4099" width="8.42578125" style="1" bestFit="1" customWidth="1"/>
    <col min="4100" max="4100" width="7.7109375" style="1" bestFit="1" customWidth="1"/>
    <col min="4101" max="4101" width="8.42578125" style="1" bestFit="1" customWidth="1"/>
    <col min="4102" max="4102" width="8.7109375" style="1" bestFit="1" customWidth="1"/>
    <col min="4103" max="4103" width="7.85546875" style="1" bestFit="1" customWidth="1"/>
    <col min="4104" max="4104" width="8.140625" style="1" bestFit="1" customWidth="1"/>
    <col min="4105" max="4105" width="13.140625" style="1" bestFit="1" customWidth="1"/>
    <col min="4106" max="4106" width="9" style="1" customWidth="1"/>
    <col min="4107" max="4351" width="9.140625" style="1"/>
    <col min="4352" max="4352" width="14.7109375" style="1" customWidth="1"/>
    <col min="4353" max="4353" width="7.85546875" style="1" bestFit="1" customWidth="1"/>
    <col min="4354" max="4354" width="10.5703125" style="1" customWidth="1"/>
    <col min="4355" max="4355" width="8.42578125" style="1" bestFit="1" customWidth="1"/>
    <col min="4356" max="4356" width="7.7109375" style="1" bestFit="1" customWidth="1"/>
    <col min="4357" max="4357" width="8.42578125" style="1" bestFit="1" customWidth="1"/>
    <col min="4358" max="4358" width="8.7109375" style="1" bestFit="1" customWidth="1"/>
    <col min="4359" max="4359" width="7.85546875" style="1" bestFit="1" customWidth="1"/>
    <col min="4360" max="4360" width="8.140625" style="1" bestFit="1" customWidth="1"/>
    <col min="4361" max="4361" width="13.140625" style="1" bestFit="1" customWidth="1"/>
    <col min="4362" max="4362" width="9" style="1" customWidth="1"/>
    <col min="4363" max="4607" width="9.140625" style="1"/>
    <col min="4608" max="4608" width="14.7109375" style="1" customWidth="1"/>
    <col min="4609" max="4609" width="7.85546875" style="1" bestFit="1" customWidth="1"/>
    <col min="4610" max="4610" width="10.5703125" style="1" customWidth="1"/>
    <col min="4611" max="4611" width="8.42578125" style="1" bestFit="1" customWidth="1"/>
    <col min="4612" max="4612" width="7.7109375" style="1" bestFit="1" customWidth="1"/>
    <col min="4613" max="4613" width="8.42578125" style="1" bestFit="1" customWidth="1"/>
    <col min="4614" max="4614" width="8.7109375" style="1" bestFit="1" customWidth="1"/>
    <col min="4615" max="4615" width="7.85546875" style="1" bestFit="1" customWidth="1"/>
    <col min="4616" max="4616" width="8.140625" style="1" bestFit="1" customWidth="1"/>
    <col min="4617" max="4617" width="13.140625" style="1" bestFit="1" customWidth="1"/>
    <col min="4618" max="4618" width="9" style="1" customWidth="1"/>
    <col min="4619" max="4863" width="9.140625" style="1"/>
    <col min="4864" max="4864" width="14.7109375" style="1" customWidth="1"/>
    <col min="4865" max="4865" width="7.85546875" style="1" bestFit="1" customWidth="1"/>
    <col min="4866" max="4866" width="10.5703125" style="1" customWidth="1"/>
    <col min="4867" max="4867" width="8.42578125" style="1" bestFit="1" customWidth="1"/>
    <col min="4868" max="4868" width="7.7109375" style="1" bestFit="1" customWidth="1"/>
    <col min="4869" max="4869" width="8.42578125" style="1" bestFit="1" customWidth="1"/>
    <col min="4870" max="4870" width="8.7109375" style="1" bestFit="1" customWidth="1"/>
    <col min="4871" max="4871" width="7.85546875" style="1" bestFit="1" customWidth="1"/>
    <col min="4872" max="4872" width="8.140625" style="1" bestFit="1" customWidth="1"/>
    <col min="4873" max="4873" width="13.140625" style="1" bestFit="1" customWidth="1"/>
    <col min="4874" max="4874" width="9" style="1" customWidth="1"/>
    <col min="4875" max="5119" width="9.140625" style="1"/>
    <col min="5120" max="5120" width="14.7109375" style="1" customWidth="1"/>
    <col min="5121" max="5121" width="7.85546875" style="1" bestFit="1" customWidth="1"/>
    <col min="5122" max="5122" width="10.5703125" style="1" customWidth="1"/>
    <col min="5123" max="5123" width="8.42578125" style="1" bestFit="1" customWidth="1"/>
    <col min="5124" max="5124" width="7.7109375" style="1" bestFit="1" customWidth="1"/>
    <col min="5125" max="5125" width="8.42578125" style="1" bestFit="1" customWidth="1"/>
    <col min="5126" max="5126" width="8.7109375" style="1" bestFit="1" customWidth="1"/>
    <col min="5127" max="5127" width="7.85546875" style="1" bestFit="1" customWidth="1"/>
    <col min="5128" max="5128" width="8.140625" style="1" bestFit="1" customWidth="1"/>
    <col min="5129" max="5129" width="13.140625" style="1" bestFit="1" customWidth="1"/>
    <col min="5130" max="5130" width="9" style="1" customWidth="1"/>
    <col min="5131" max="5375" width="9.140625" style="1"/>
    <col min="5376" max="5376" width="14.7109375" style="1" customWidth="1"/>
    <col min="5377" max="5377" width="7.85546875" style="1" bestFit="1" customWidth="1"/>
    <col min="5378" max="5378" width="10.5703125" style="1" customWidth="1"/>
    <col min="5379" max="5379" width="8.42578125" style="1" bestFit="1" customWidth="1"/>
    <col min="5380" max="5380" width="7.7109375" style="1" bestFit="1" customWidth="1"/>
    <col min="5381" max="5381" width="8.42578125" style="1" bestFit="1" customWidth="1"/>
    <col min="5382" max="5382" width="8.7109375" style="1" bestFit="1" customWidth="1"/>
    <col min="5383" max="5383" width="7.85546875" style="1" bestFit="1" customWidth="1"/>
    <col min="5384" max="5384" width="8.140625" style="1" bestFit="1" customWidth="1"/>
    <col min="5385" max="5385" width="13.140625" style="1" bestFit="1" customWidth="1"/>
    <col min="5386" max="5386" width="9" style="1" customWidth="1"/>
    <col min="5387" max="5631" width="9.140625" style="1"/>
    <col min="5632" max="5632" width="14.7109375" style="1" customWidth="1"/>
    <col min="5633" max="5633" width="7.85546875" style="1" bestFit="1" customWidth="1"/>
    <col min="5634" max="5634" width="10.5703125" style="1" customWidth="1"/>
    <col min="5635" max="5635" width="8.42578125" style="1" bestFit="1" customWidth="1"/>
    <col min="5636" max="5636" width="7.7109375" style="1" bestFit="1" customWidth="1"/>
    <col min="5637" max="5637" width="8.42578125" style="1" bestFit="1" customWidth="1"/>
    <col min="5638" max="5638" width="8.7109375" style="1" bestFit="1" customWidth="1"/>
    <col min="5639" max="5639" width="7.85546875" style="1" bestFit="1" customWidth="1"/>
    <col min="5640" max="5640" width="8.140625" style="1" bestFit="1" customWidth="1"/>
    <col min="5641" max="5641" width="13.140625" style="1" bestFit="1" customWidth="1"/>
    <col min="5642" max="5642" width="9" style="1" customWidth="1"/>
    <col min="5643" max="5887" width="9.140625" style="1"/>
    <col min="5888" max="5888" width="14.7109375" style="1" customWidth="1"/>
    <col min="5889" max="5889" width="7.85546875" style="1" bestFit="1" customWidth="1"/>
    <col min="5890" max="5890" width="10.5703125" style="1" customWidth="1"/>
    <col min="5891" max="5891" width="8.42578125" style="1" bestFit="1" customWidth="1"/>
    <col min="5892" max="5892" width="7.7109375" style="1" bestFit="1" customWidth="1"/>
    <col min="5893" max="5893" width="8.42578125" style="1" bestFit="1" customWidth="1"/>
    <col min="5894" max="5894" width="8.7109375" style="1" bestFit="1" customWidth="1"/>
    <col min="5895" max="5895" width="7.85546875" style="1" bestFit="1" customWidth="1"/>
    <col min="5896" max="5896" width="8.140625" style="1" bestFit="1" customWidth="1"/>
    <col min="5897" max="5897" width="13.140625" style="1" bestFit="1" customWidth="1"/>
    <col min="5898" max="5898" width="9" style="1" customWidth="1"/>
    <col min="5899" max="6143" width="9.140625" style="1"/>
    <col min="6144" max="6144" width="14.7109375" style="1" customWidth="1"/>
    <col min="6145" max="6145" width="7.85546875" style="1" bestFit="1" customWidth="1"/>
    <col min="6146" max="6146" width="10.5703125" style="1" customWidth="1"/>
    <col min="6147" max="6147" width="8.42578125" style="1" bestFit="1" customWidth="1"/>
    <col min="6148" max="6148" width="7.7109375" style="1" bestFit="1" customWidth="1"/>
    <col min="6149" max="6149" width="8.42578125" style="1" bestFit="1" customWidth="1"/>
    <col min="6150" max="6150" width="8.7109375" style="1" bestFit="1" customWidth="1"/>
    <col min="6151" max="6151" width="7.85546875" style="1" bestFit="1" customWidth="1"/>
    <col min="6152" max="6152" width="8.140625" style="1" bestFit="1" customWidth="1"/>
    <col min="6153" max="6153" width="13.140625" style="1" bestFit="1" customWidth="1"/>
    <col min="6154" max="6154" width="9" style="1" customWidth="1"/>
    <col min="6155" max="6399" width="9.140625" style="1"/>
    <col min="6400" max="6400" width="14.7109375" style="1" customWidth="1"/>
    <col min="6401" max="6401" width="7.85546875" style="1" bestFit="1" customWidth="1"/>
    <col min="6402" max="6402" width="10.5703125" style="1" customWidth="1"/>
    <col min="6403" max="6403" width="8.42578125" style="1" bestFit="1" customWidth="1"/>
    <col min="6404" max="6404" width="7.7109375" style="1" bestFit="1" customWidth="1"/>
    <col min="6405" max="6405" width="8.42578125" style="1" bestFit="1" customWidth="1"/>
    <col min="6406" max="6406" width="8.7109375" style="1" bestFit="1" customWidth="1"/>
    <col min="6407" max="6407" width="7.85546875" style="1" bestFit="1" customWidth="1"/>
    <col min="6408" max="6408" width="8.140625" style="1" bestFit="1" customWidth="1"/>
    <col min="6409" max="6409" width="13.140625" style="1" bestFit="1" customWidth="1"/>
    <col min="6410" max="6410" width="9" style="1" customWidth="1"/>
    <col min="6411" max="6655" width="9.140625" style="1"/>
    <col min="6656" max="6656" width="14.7109375" style="1" customWidth="1"/>
    <col min="6657" max="6657" width="7.85546875" style="1" bestFit="1" customWidth="1"/>
    <col min="6658" max="6658" width="10.5703125" style="1" customWidth="1"/>
    <col min="6659" max="6659" width="8.42578125" style="1" bestFit="1" customWidth="1"/>
    <col min="6660" max="6660" width="7.7109375" style="1" bestFit="1" customWidth="1"/>
    <col min="6661" max="6661" width="8.42578125" style="1" bestFit="1" customWidth="1"/>
    <col min="6662" max="6662" width="8.7109375" style="1" bestFit="1" customWidth="1"/>
    <col min="6663" max="6663" width="7.85546875" style="1" bestFit="1" customWidth="1"/>
    <col min="6664" max="6664" width="8.140625" style="1" bestFit="1" customWidth="1"/>
    <col min="6665" max="6665" width="13.140625" style="1" bestFit="1" customWidth="1"/>
    <col min="6666" max="6666" width="9" style="1" customWidth="1"/>
    <col min="6667" max="6911" width="9.140625" style="1"/>
    <col min="6912" max="6912" width="14.7109375" style="1" customWidth="1"/>
    <col min="6913" max="6913" width="7.85546875" style="1" bestFit="1" customWidth="1"/>
    <col min="6914" max="6914" width="10.5703125" style="1" customWidth="1"/>
    <col min="6915" max="6915" width="8.42578125" style="1" bestFit="1" customWidth="1"/>
    <col min="6916" max="6916" width="7.7109375" style="1" bestFit="1" customWidth="1"/>
    <col min="6917" max="6917" width="8.42578125" style="1" bestFit="1" customWidth="1"/>
    <col min="6918" max="6918" width="8.7109375" style="1" bestFit="1" customWidth="1"/>
    <col min="6919" max="6919" width="7.85546875" style="1" bestFit="1" customWidth="1"/>
    <col min="6920" max="6920" width="8.140625" style="1" bestFit="1" customWidth="1"/>
    <col min="6921" max="6921" width="13.140625" style="1" bestFit="1" customWidth="1"/>
    <col min="6922" max="6922" width="9" style="1" customWidth="1"/>
    <col min="6923" max="7167" width="9.140625" style="1"/>
    <col min="7168" max="7168" width="14.7109375" style="1" customWidth="1"/>
    <col min="7169" max="7169" width="7.85546875" style="1" bestFit="1" customWidth="1"/>
    <col min="7170" max="7170" width="10.5703125" style="1" customWidth="1"/>
    <col min="7171" max="7171" width="8.42578125" style="1" bestFit="1" customWidth="1"/>
    <col min="7172" max="7172" width="7.7109375" style="1" bestFit="1" customWidth="1"/>
    <col min="7173" max="7173" width="8.42578125" style="1" bestFit="1" customWidth="1"/>
    <col min="7174" max="7174" width="8.7109375" style="1" bestFit="1" customWidth="1"/>
    <col min="7175" max="7175" width="7.85546875" style="1" bestFit="1" customWidth="1"/>
    <col min="7176" max="7176" width="8.140625" style="1" bestFit="1" customWidth="1"/>
    <col min="7177" max="7177" width="13.140625" style="1" bestFit="1" customWidth="1"/>
    <col min="7178" max="7178" width="9" style="1" customWidth="1"/>
    <col min="7179" max="7423" width="9.140625" style="1"/>
    <col min="7424" max="7424" width="14.7109375" style="1" customWidth="1"/>
    <col min="7425" max="7425" width="7.85546875" style="1" bestFit="1" customWidth="1"/>
    <col min="7426" max="7426" width="10.5703125" style="1" customWidth="1"/>
    <col min="7427" max="7427" width="8.42578125" style="1" bestFit="1" customWidth="1"/>
    <col min="7428" max="7428" width="7.7109375" style="1" bestFit="1" customWidth="1"/>
    <col min="7429" max="7429" width="8.42578125" style="1" bestFit="1" customWidth="1"/>
    <col min="7430" max="7430" width="8.7109375" style="1" bestFit="1" customWidth="1"/>
    <col min="7431" max="7431" width="7.85546875" style="1" bestFit="1" customWidth="1"/>
    <col min="7432" max="7432" width="8.140625" style="1" bestFit="1" customWidth="1"/>
    <col min="7433" max="7433" width="13.140625" style="1" bestFit="1" customWidth="1"/>
    <col min="7434" max="7434" width="9" style="1" customWidth="1"/>
    <col min="7435" max="7679" width="9.140625" style="1"/>
    <col min="7680" max="7680" width="14.7109375" style="1" customWidth="1"/>
    <col min="7681" max="7681" width="7.85546875" style="1" bestFit="1" customWidth="1"/>
    <col min="7682" max="7682" width="10.5703125" style="1" customWidth="1"/>
    <col min="7683" max="7683" width="8.42578125" style="1" bestFit="1" customWidth="1"/>
    <col min="7684" max="7684" width="7.7109375" style="1" bestFit="1" customWidth="1"/>
    <col min="7685" max="7685" width="8.42578125" style="1" bestFit="1" customWidth="1"/>
    <col min="7686" max="7686" width="8.7109375" style="1" bestFit="1" customWidth="1"/>
    <col min="7687" max="7687" width="7.85546875" style="1" bestFit="1" customWidth="1"/>
    <col min="7688" max="7688" width="8.140625" style="1" bestFit="1" customWidth="1"/>
    <col min="7689" max="7689" width="13.140625" style="1" bestFit="1" customWidth="1"/>
    <col min="7690" max="7690" width="9" style="1" customWidth="1"/>
    <col min="7691" max="7935" width="9.140625" style="1"/>
    <col min="7936" max="7936" width="14.7109375" style="1" customWidth="1"/>
    <col min="7937" max="7937" width="7.85546875" style="1" bestFit="1" customWidth="1"/>
    <col min="7938" max="7938" width="10.5703125" style="1" customWidth="1"/>
    <col min="7939" max="7939" width="8.42578125" style="1" bestFit="1" customWidth="1"/>
    <col min="7940" max="7940" width="7.7109375" style="1" bestFit="1" customWidth="1"/>
    <col min="7941" max="7941" width="8.42578125" style="1" bestFit="1" customWidth="1"/>
    <col min="7942" max="7942" width="8.7109375" style="1" bestFit="1" customWidth="1"/>
    <col min="7943" max="7943" width="7.85546875" style="1" bestFit="1" customWidth="1"/>
    <col min="7944" max="7944" width="8.140625" style="1" bestFit="1" customWidth="1"/>
    <col min="7945" max="7945" width="13.140625" style="1" bestFit="1" customWidth="1"/>
    <col min="7946" max="7946" width="9" style="1" customWidth="1"/>
    <col min="7947" max="8191" width="9.140625" style="1"/>
    <col min="8192" max="8192" width="14.7109375" style="1" customWidth="1"/>
    <col min="8193" max="8193" width="7.85546875" style="1" bestFit="1" customWidth="1"/>
    <col min="8194" max="8194" width="10.5703125" style="1" customWidth="1"/>
    <col min="8195" max="8195" width="8.42578125" style="1" bestFit="1" customWidth="1"/>
    <col min="8196" max="8196" width="7.7109375" style="1" bestFit="1" customWidth="1"/>
    <col min="8197" max="8197" width="8.42578125" style="1" bestFit="1" customWidth="1"/>
    <col min="8198" max="8198" width="8.7109375" style="1" bestFit="1" customWidth="1"/>
    <col min="8199" max="8199" width="7.85546875" style="1" bestFit="1" customWidth="1"/>
    <col min="8200" max="8200" width="8.140625" style="1" bestFit="1" customWidth="1"/>
    <col min="8201" max="8201" width="13.140625" style="1" bestFit="1" customWidth="1"/>
    <col min="8202" max="8202" width="9" style="1" customWidth="1"/>
    <col min="8203" max="8447" width="9.140625" style="1"/>
    <col min="8448" max="8448" width="14.7109375" style="1" customWidth="1"/>
    <col min="8449" max="8449" width="7.85546875" style="1" bestFit="1" customWidth="1"/>
    <col min="8450" max="8450" width="10.5703125" style="1" customWidth="1"/>
    <col min="8451" max="8451" width="8.42578125" style="1" bestFit="1" customWidth="1"/>
    <col min="8452" max="8452" width="7.7109375" style="1" bestFit="1" customWidth="1"/>
    <col min="8453" max="8453" width="8.42578125" style="1" bestFit="1" customWidth="1"/>
    <col min="8454" max="8454" width="8.7109375" style="1" bestFit="1" customWidth="1"/>
    <col min="8455" max="8455" width="7.85546875" style="1" bestFit="1" customWidth="1"/>
    <col min="8456" max="8456" width="8.140625" style="1" bestFit="1" customWidth="1"/>
    <col min="8457" max="8457" width="13.140625" style="1" bestFit="1" customWidth="1"/>
    <col min="8458" max="8458" width="9" style="1" customWidth="1"/>
    <col min="8459" max="8703" width="9.140625" style="1"/>
    <col min="8704" max="8704" width="14.7109375" style="1" customWidth="1"/>
    <col min="8705" max="8705" width="7.85546875" style="1" bestFit="1" customWidth="1"/>
    <col min="8706" max="8706" width="10.5703125" style="1" customWidth="1"/>
    <col min="8707" max="8707" width="8.42578125" style="1" bestFit="1" customWidth="1"/>
    <col min="8708" max="8708" width="7.7109375" style="1" bestFit="1" customWidth="1"/>
    <col min="8709" max="8709" width="8.42578125" style="1" bestFit="1" customWidth="1"/>
    <col min="8710" max="8710" width="8.7109375" style="1" bestFit="1" customWidth="1"/>
    <col min="8711" max="8711" width="7.85546875" style="1" bestFit="1" customWidth="1"/>
    <col min="8712" max="8712" width="8.140625" style="1" bestFit="1" customWidth="1"/>
    <col min="8713" max="8713" width="13.140625" style="1" bestFit="1" customWidth="1"/>
    <col min="8714" max="8714" width="9" style="1" customWidth="1"/>
    <col min="8715" max="8959" width="9.140625" style="1"/>
    <col min="8960" max="8960" width="14.7109375" style="1" customWidth="1"/>
    <col min="8961" max="8961" width="7.85546875" style="1" bestFit="1" customWidth="1"/>
    <col min="8962" max="8962" width="10.5703125" style="1" customWidth="1"/>
    <col min="8963" max="8963" width="8.42578125" style="1" bestFit="1" customWidth="1"/>
    <col min="8964" max="8964" width="7.7109375" style="1" bestFit="1" customWidth="1"/>
    <col min="8965" max="8965" width="8.42578125" style="1" bestFit="1" customWidth="1"/>
    <col min="8966" max="8966" width="8.7109375" style="1" bestFit="1" customWidth="1"/>
    <col min="8967" max="8967" width="7.85546875" style="1" bestFit="1" customWidth="1"/>
    <col min="8968" max="8968" width="8.140625" style="1" bestFit="1" customWidth="1"/>
    <col min="8969" max="8969" width="13.140625" style="1" bestFit="1" customWidth="1"/>
    <col min="8970" max="8970" width="9" style="1" customWidth="1"/>
    <col min="8971" max="9215" width="9.140625" style="1"/>
    <col min="9216" max="9216" width="14.7109375" style="1" customWidth="1"/>
    <col min="9217" max="9217" width="7.85546875" style="1" bestFit="1" customWidth="1"/>
    <col min="9218" max="9218" width="10.5703125" style="1" customWidth="1"/>
    <col min="9219" max="9219" width="8.42578125" style="1" bestFit="1" customWidth="1"/>
    <col min="9220" max="9220" width="7.7109375" style="1" bestFit="1" customWidth="1"/>
    <col min="9221" max="9221" width="8.42578125" style="1" bestFit="1" customWidth="1"/>
    <col min="9222" max="9222" width="8.7109375" style="1" bestFit="1" customWidth="1"/>
    <col min="9223" max="9223" width="7.85546875" style="1" bestFit="1" customWidth="1"/>
    <col min="9224" max="9224" width="8.140625" style="1" bestFit="1" customWidth="1"/>
    <col min="9225" max="9225" width="13.140625" style="1" bestFit="1" customWidth="1"/>
    <col min="9226" max="9226" width="9" style="1" customWidth="1"/>
    <col min="9227" max="9471" width="9.140625" style="1"/>
    <col min="9472" max="9472" width="14.7109375" style="1" customWidth="1"/>
    <col min="9473" max="9473" width="7.85546875" style="1" bestFit="1" customWidth="1"/>
    <col min="9474" max="9474" width="10.5703125" style="1" customWidth="1"/>
    <col min="9475" max="9475" width="8.42578125" style="1" bestFit="1" customWidth="1"/>
    <col min="9476" max="9476" width="7.7109375" style="1" bestFit="1" customWidth="1"/>
    <col min="9477" max="9477" width="8.42578125" style="1" bestFit="1" customWidth="1"/>
    <col min="9478" max="9478" width="8.7109375" style="1" bestFit="1" customWidth="1"/>
    <col min="9479" max="9479" width="7.85546875" style="1" bestFit="1" customWidth="1"/>
    <col min="9480" max="9480" width="8.140625" style="1" bestFit="1" customWidth="1"/>
    <col min="9481" max="9481" width="13.140625" style="1" bestFit="1" customWidth="1"/>
    <col min="9482" max="9482" width="9" style="1" customWidth="1"/>
    <col min="9483" max="9727" width="9.140625" style="1"/>
    <col min="9728" max="9728" width="14.7109375" style="1" customWidth="1"/>
    <col min="9729" max="9729" width="7.85546875" style="1" bestFit="1" customWidth="1"/>
    <col min="9730" max="9730" width="10.5703125" style="1" customWidth="1"/>
    <col min="9731" max="9731" width="8.42578125" style="1" bestFit="1" customWidth="1"/>
    <col min="9732" max="9732" width="7.7109375" style="1" bestFit="1" customWidth="1"/>
    <col min="9733" max="9733" width="8.42578125" style="1" bestFit="1" customWidth="1"/>
    <col min="9734" max="9734" width="8.7109375" style="1" bestFit="1" customWidth="1"/>
    <col min="9735" max="9735" width="7.85546875" style="1" bestFit="1" customWidth="1"/>
    <col min="9736" max="9736" width="8.140625" style="1" bestFit="1" customWidth="1"/>
    <col min="9737" max="9737" width="13.140625" style="1" bestFit="1" customWidth="1"/>
    <col min="9738" max="9738" width="9" style="1" customWidth="1"/>
    <col min="9739" max="9983" width="9.140625" style="1"/>
    <col min="9984" max="9984" width="14.7109375" style="1" customWidth="1"/>
    <col min="9985" max="9985" width="7.85546875" style="1" bestFit="1" customWidth="1"/>
    <col min="9986" max="9986" width="10.5703125" style="1" customWidth="1"/>
    <col min="9987" max="9987" width="8.42578125" style="1" bestFit="1" customWidth="1"/>
    <col min="9988" max="9988" width="7.7109375" style="1" bestFit="1" customWidth="1"/>
    <col min="9989" max="9989" width="8.42578125" style="1" bestFit="1" customWidth="1"/>
    <col min="9990" max="9990" width="8.7109375" style="1" bestFit="1" customWidth="1"/>
    <col min="9991" max="9991" width="7.85546875" style="1" bestFit="1" customWidth="1"/>
    <col min="9992" max="9992" width="8.140625" style="1" bestFit="1" customWidth="1"/>
    <col min="9993" max="9993" width="13.140625" style="1" bestFit="1" customWidth="1"/>
    <col min="9994" max="9994" width="9" style="1" customWidth="1"/>
    <col min="9995" max="10239" width="9.140625" style="1"/>
    <col min="10240" max="10240" width="14.7109375" style="1" customWidth="1"/>
    <col min="10241" max="10241" width="7.85546875" style="1" bestFit="1" customWidth="1"/>
    <col min="10242" max="10242" width="10.5703125" style="1" customWidth="1"/>
    <col min="10243" max="10243" width="8.42578125" style="1" bestFit="1" customWidth="1"/>
    <col min="10244" max="10244" width="7.7109375" style="1" bestFit="1" customWidth="1"/>
    <col min="10245" max="10245" width="8.42578125" style="1" bestFit="1" customWidth="1"/>
    <col min="10246" max="10246" width="8.7109375" style="1" bestFit="1" customWidth="1"/>
    <col min="10247" max="10247" width="7.85546875" style="1" bestFit="1" customWidth="1"/>
    <col min="10248" max="10248" width="8.140625" style="1" bestFit="1" customWidth="1"/>
    <col min="10249" max="10249" width="13.140625" style="1" bestFit="1" customWidth="1"/>
    <col min="10250" max="10250" width="9" style="1" customWidth="1"/>
    <col min="10251" max="10495" width="9.140625" style="1"/>
    <col min="10496" max="10496" width="14.7109375" style="1" customWidth="1"/>
    <col min="10497" max="10497" width="7.85546875" style="1" bestFit="1" customWidth="1"/>
    <col min="10498" max="10498" width="10.5703125" style="1" customWidth="1"/>
    <col min="10499" max="10499" width="8.42578125" style="1" bestFit="1" customWidth="1"/>
    <col min="10500" max="10500" width="7.7109375" style="1" bestFit="1" customWidth="1"/>
    <col min="10501" max="10501" width="8.42578125" style="1" bestFit="1" customWidth="1"/>
    <col min="10502" max="10502" width="8.7109375" style="1" bestFit="1" customWidth="1"/>
    <col min="10503" max="10503" width="7.85546875" style="1" bestFit="1" customWidth="1"/>
    <col min="10504" max="10504" width="8.140625" style="1" bestFit="1" customWidth="1"/>
    <col min="10505" max="10505" width="13.140625" style="1" bestFit="1" customWidth="1"/>
    <col min="10506" max="10506" width="9" style="1" customWidth="1"/>
    <col min="10507" max="10751" width="9.140625" style="1"/>
    <col min="10752" max="10752" width="14.7109375" style="1" customWidth="1"/>
    <col min="10753" max="10753" width="7.85546875" style="1" bestFit="1" customWidth="1"/>
    <col min="10754" max="10754" width="10.5703125" style="1" customWidth="1"/>
    <col min="10755" max="10755" width="8.42578125" style="1" bestFit="1" customWidth="1"/>
    <col min="10756" max="10756" width="7.7109375" style="1" bestFit="1" customWidth="1"/>
    <col min="10757" max="10757" width="8.42578125" style="1" bestFit="1" customWidth="1"/>
    <col min="10758" max="10758" width="8.7109375" style="1" bestFit="1" customWidth="1"/>
    <col min="10759" max="10759" width="7.85546875" style="1" bestFit="1" customWidth="1"/>
    <col min="10760" max="10760" width="8.140625" style="1" bestFit="1" customWidth="1"/>
    <col min="10761" max="10761" width="13.140625" style="1" bestFit="1" customWidth="1"/>
    <col min="10762" max="10762" width="9" style="1" customWidth="1"/>
    <col min="10763" max="11007" width="9.140625" style="1"/>
    <col min="11008" max="11008" width="14.7109375" style="1" customWidth="1"/>
    <col min="11009" max="11009" width="7.85546875" style="1" bestFit="1" customWidth="1"/>
    <col min="11010" max="11010" width="10.5703125" style="1" customWidth="1"/>
    <col min="11011" max="11011" width="8.42578125" style="1" bestFit="1" customWidth="1"/>
    <col min="11012" max="11012" width="7.7109375" style="1" bestFit="1" customWidth="1"/>
    <col min="11013" max="11013" width="8.42578125" style="1" bestFit="1" customWidth="1"/>
    <col min="11014" max="11014" width="8.7109375" style="1" bestFit="1" customWidth="1"/>
    <col min="11015" max="11015" width="7.85546875" style="1" bestFit="1" customWidth="1"/>
    <col min="11016" max="11016" width="8.140625" style="1" bestFit="1" customWidth="1"/>
    <col min="11017" max="11017" width="13.140625" style="1" bestFit="1" customWidth="1"/>
    <col min="11018" max="11018" width="9" style="1" customWidth="1"/>
    <col min="11019" max="11263" width="9.140625" style="1"/>
    <col min="11264" max="11264" width="14.7109375" style="1" customWidth="1"/>
    <col min="11265" max="11265" width="7.85546875" style="1" bestFit="1" customWidth="1"/>
    <col min="11266" max="11266" width="10.5703125" style="1" customWidth="1"/>
    <col min="11267" max="11267" width="8.42578125" style="1" bestFit="1" customWidth="1"/>
    <col min="11268" max="11268" width="7.7109375" style="1" bestFit="1" customWidth="1"/>
    <col min="11269" max="11269" width="8.42578125" style="1" bestFit="1" customWidth="1"/>
    <col min="11270" max="11270" width="8.7109375" style="1" bestFit="1" customWidth="1"/>
    <col min="11271" max="11271" width="7.85546875" style="1" bestFit="1" customWidth="1"/>
    <col min="11272" max="11272" width="8.140625" style="1" bestFit="1" customWidth="1"/>
    <col min="11273" max="11273" width="13.140625" style="1" bestFit="1" customWidth="1"/>
    <col min="11274" max="11274" width="9" style="1" customWidth="1"/>
    <col min="11275" max="11519" width="9.140625" style="1"/>
    <col min="11520" max="11520" width="14.7109375" style="1" customWidth="1"/>
    <col min="11521" max="11521" width="7.85546875" style="1" bestFit="1" customWidth="1"/>
    <col min="11522" max="11522" width="10.5703125" style="1" customWidth="1"/>
    <col min="11523" max="11523" width="8.42578125" style="1" bestFit="1" customWidth="1"/>
    <col min="11524" max="11524" width="7.7109375" style="1" bestFit="1" customWidth="1"/>
    <col min="11525" max="11525" width="8.42578125" style="1" bestFit="1" customWidth="1"/>
    <col min="11526" max="11526" width="8.7109375" style="1" bestFit="1" customWidth="1"/>
    <col min="11527" max="11527" width="7.85546875" style="1" bestFit="1" customWidth="1"/>
    <col min="11528" max="11528" width="8.140625" style="1" bestFit="1" customWidth="1"/>
    <col min="11529" max="11529" width="13.140625" style="1" bestFit="1" customWidth="1"/>
    <col min="11530" max="11530" width="9" style="1" customWidth="1"/>
    <col min="11531" max="11775" width="9.140625" style="1"/>
    <col min="11776" max="11776" width="14.7109375" style="1" customWidth="1"/>
    <col min="11777" max="11777" width="7.85546875" style="1" bestFit="1" customWidth="1"/>
    <col min="11778" max="11778" width="10.5703125" style="1" customWidth="1"/>
    <col min="11779" max="11779" width="8.42578125" style="1" bestFit="1" customWidth="1"/>
    <col min="11780" max="11780" width="7.7109375" style="1" bestFit="1" customWidth="1"/>
    <col min="11781" max="11781" width="8.42578125" style="1" bestFit="1" customWidth="1"/>
    <col min="11782" max="11782" width="8.7109375" style="1" bestFit="1" customWidth="1"/>
    <col min="11783" max="11783" width="7.85546875" style="1" bestFit="1" customWidth="1"/>
    <col min="11784" max="11784" width="8.140625" style="1" bestFit="1" customWidth="1"/>
    <col min="11785" max="11785" width="13.140625" style="1" bestFit="1" customWidth="1"/>
    <col min="11786" max="11786" width="9" style="1" customWidth="1"/>
    <col min="11787" max="12031" width="9.140625" style="1"/>
    <col min="12032" max="12032" width="14.7109375" style="1" customWidth="1"/>
    <col min="12033" max="12033" width="7.85546875" style="1" bestFit="1" customWidth="1"/>
    <col min="12034" max="12034" width="10.5703125" style="1" customWidth="1"/>
    <col min="12035" max="12035" width="8.42578125" style="1" bestFit="1" customWidth="1"/>
    <col min="12036" max="12036" width="7.7109375" style="1" bestFit="1" customWidth="1"/>
    <col min="12037" max="12037" width="8.42578125" style="1" bestFit="1" customWidth="1"/>
    <col min="12038" max="12038" width="8.7109375" style="1" bestFit="1" customWidth="1"/>
    <col min="12039" max="12039" width="7.85546875" style="1" bestFit="1" customWidth="1"/>
    <col min="12040" max="12040" width="8.140625" style="1" bestFit="1" customWidth="1"/>
    <col min="12041" max="12041" width="13.140625" style="1" bestFit="1" customWidth="1"/>
    <col min="12042" max="12042" width="9" style="1" customWidth="1"/>
    <col min="12043" max="12287" width="9.140625" style="1"/>
    <col min="12288" max="12288" width="14.7109375" style="1" customWidth="1"/>
    <col min="12289" max="12289" width="7.85546875" style="1" bestFit="1" customWidth="1"/>
    <col min="12290" max="12290" width="10.5703125" style="1" customWidth="1"/>
    <col min="12291" max="12291" width="8.42578125" style="1" bestFit="1" customWidth="1"/>
    <col min="12292" max="12292" width="7.7109375" style="1" bestFit="1" customWidth="1"/>
    <col min="12293" max="12293" width="8.42578125" style="1" bestFit="1" customWidth="1"/>
    <col min="12294" max="12294" width="8.7109375" style="1" bestFit="1" customWidth="1"/>
    <col min="12295" max="12295" width="7.85546875" style="1" bestFit="1" customWidth="1"/>
    <col min="12296" max="12296" width="8.140625" style="1" bestFit="1" customWidth="1"/>
    <col min="12297" max="12297" width="13.140625" style="1" bestFit="1" customWidth="1"/>
    <col min="12298" max="12298" width="9" style="1" customWidth="1"/>
    <col min="12299" max="12543" width="9.140625" style="1"/>
    <col min="12544" max="12544" width="14.7109375" style="1" customWidth="1"/>
    <col min="12545" max="12545" width="7.85546875" style="1" bestFit="1" customWidth="1"/>
    <col min="12546" max="12546" width="10.5703125" style="1" customWidth="1"/>
    <col min="12547" max="12547" width="8.42578125" style="1" bestFit="1" customWidth="1"/>
    <col min="12548" max="12548" width="7.7109375" style="1" bestFit="1" customWidth="1"/>
    <col min="12549" max="12549" width="8.42578125" style="1" bestFit="1" customWidth="1"/>
    <col min="12550" max="12550" width="8.7109375" style="1" bestFit="1" customWidth="1"/>
    <col min="12551" max="12551" width="7.85546875" style="1" bestFit="1" customWidth="1"/>
    <col min="12552" max="12552" width="8.140625" style="1" bestFit="1" customWidth="1"/>
    <col min="12553" max="12553" width="13.140625" style="1" bestFit="1" customWidth="1"/>
    <col min="12554" max="12554" width="9" style="1" customWidth="1"/>
    <col min="12555" max="12799" width="9.140625" style="1"/>
    <col min="12800" max="12800" width="14.7109375" style="1" customWidth="1"/>
    <col min="12801" max="12801" width="7.85546875" style="1" bestFit="1" customWidth="1"/>
    <col min="12802" max="12802" width="10.5703125" style="1" customWidth="1"/>
    <col min="12803" max="12803" width="8.42578125" style="1" bestFit="1" customWidth="1"/>
    <col min="12804" max="12804" width="7.7109375" style="1" bestFit="1" customWidth="1"/>
    <col min="12805" max="12805" width="8.42578125" style="1" bestFit="1" customWidth="1"/>
    <col min="12806" max="12806" width="8.7109375" style="1" bestFit="1" customWidth="1"/>
    <col min="12807" max="12807" width="7.85546875" style="1" bestFit="1" customWidth="1"/>
    <col min="12808" max="12808" width="8.140625" style="1" bestFit="1" customWidth="1"/>
    <col min="12809" max="12809" width="13.140625" style="1" bestFit="1" customWidth="1"/>
    <col min="12810" max="12810" width="9" style="1" customWidth="1"/>
    <col min="12811" max="13055" width="9.140625" style="1"/>
    <col min="13056" max="13056" width="14.7109375" style="1" customWidth="1"/>
    <col min="13057" max="13057" width="7.85546875" style="1" bestFit="1" customWidth="1"/>
    <col min="13058" max="13058" width="10.5703125" style="1" customWidth="1"/>
    <col min="13059" max="13059" width="8.42578125" style="1" bestFit="1" customWidth="1"/>
    <col min="13060" max="13060" width="7.7109375" style="1" bestFit="1" customWidth="1"/>
    <col min="13061" max="13061" width="8.42578125" style="1" bestFit="1" customWidth="1"/>
    <col min="13062" max="13062" width="8.7109375" style="1" bestFit="1" customWidth="1"/>
    <col min="13063" max="13063" width="7.85546875" style="1" bestFit="1" customWidth="1"/>
    <col min="13064" max="13064" width="8.140625" style="1" bestFit="1" customWidth="1"/>
    <col min="13065" max="13065" width="13.140625" style="1" bestFit="1" customWidth="1"/>
    <col min="13066" max="13066" width="9" style="1" customWidth="1"/>
    <col min="13067" max="13311" width="9.140625" style="1"/>
    <col min="13312" max="13312" width="14.7109375" style="1" customWidth="1"/>
    <col min="13313" max="13313" width="7.85546875" style="1" bestFit="1" customWidth="1"/>
    <col min="13314" max="13314" width="10.5703125" style="1" customWidth="1"/>
    <col min="13315" max="13315" width="8.42578125" style="1" bestFit="1" customWidth="1"/>
    <col min="13316" max="13316" width="7.7109375" style="1" bestFit="1" customWidth="1"/>
    <col min="13317" max="13317" width="8.42578125" style="1" bestFit="1" customWidth="1"/>
    <col min="13318" max="13318" width="8.7109375" style="1" bestFit="1" customWidth="1"/>
    <col min="13319" max="13319" width="7.85546875" style="1" bestFit="1" customWidth="1"/>
    <col min="13320" max="13320" width="8.140625" style="1" bestFit="1" customWidth="1"/>
    <col min="13321" max="13321" width="13.140625" style="1" bestFit="1" customWidth="1"/>
    <col min="13322" max="13322" width="9" style="1" customWidth="1"/>
    <col min="13323" max="13567" width="9.140625" style="1"/>
    <col min="13568" max="13568" width="14.7109375" style="1" customWidth="1"/>
    <col min="13569" max="13569" width="7.85546875" style="1" bestFit="1" customWidth="1"/>
    <col min="13570" max="13570" width="10.5703125" style="1" customWidth="1"/>
    <col min="13571" max="13571" width="8.42578125" style="1" bestFit="1" customWidth="1"/>
    <col min="13572" max="13572" width="7.7109375" style="1" bestFit="1" customWidth="1"/>
    <col min="13573" max="13573" width="8.42578125" style="1" bestFit="1" customWidth="1"/>
    <col min="13574" max="13574" width="8.7109375" style="1" bestFit="1" customWidth="1"/>
    <col min="13575" max="13575" width="7.85546875" style="1" bestFit="1" customWidth="1"/>
    <col min="13576" max="13576" width="8.140625" style="1" bestFit="1" customWidth="1"/>
    <col min="13577" max="13577" width="13.140625" style="1" bestFit="1" customWidth="1"/>
    <col min="13578" max="13578" width="9" style="1" customWidth="1"/>
    <col min="13579" max="13823" width="9.140625" style="1"/>
    <col min="13824" max="13824" width="14.7109375" style="1" customWidth="1"/>
    <col min="13825" max="13825" width="7.85546875" style="1" bestFit="1" customWidth="1"/>
    <col min="13826" max="13826" width="10.5703125" style="1" customWidth="1"/>
    <col min="13827" max="13827" width="8.42578125" style="1" bestFit="1" customWidth="1"/>
    <col min="13828" max="13828" width="7.7109375" style="1" bestFit="1" customWidth="1"/>
    <col min="13829" max="13829" width="8.42578125" style="1" bestFit="1" customWidth="1"/>
    <col min="13830" max="13830" width="8.7109375" style="1" bestFit="1" customWidth="1"/>
    <col min="13831" max="13831" width="7.85546875" style="1" bestFit="1" customWidth="1"/>
    <col min="13832" max="13832" width="8.140625" style="1" bestFit="1" customWidth="1"/>
    <col min="13833" max="13833" width="13.140625" style="1" bestFit="1" customWidth="1"/>
    <col min="13834" max="13834" width="9" style="1" customWidth="1"/>
    <col min="13835" max="14079" width="9.140625" style="1"/>
    <col min="14080" max="14080" width="14.7109375" style="1" customWidth="1"/>
    <col min="14081" max="14081" width="7.85546875" style="1" bestFit="1" customWidth="1"/>
    <col min="14082" max="14082" width="10.5703125" style="1" customWidth="1"/>
    <col min="14083" max="14083" width="8.42578125" style="1" bestFit="1" customWidth="1"/>
    <col min="14084" max="14084" width="7.7109375" style="1" bestFit="1" customWidth="1"/>
    <col min="14085" max="14085" width="8.42578125" style="1" bestFit="1" customWidth="1"/>
    <col min="14086" max="14086" width="8.7109375" style="1" bestFit="1" customWidth="1"/>
    <col min="14087" max="14087" width="7.85546875" style="1" bestFit="1" customWidth="1"/>
    <col min="14088" max="14088" width="8.140625" style="1" bestFit="1" customWidth="1"/>
    <col min="14089" max="14089" width="13.140625" style="1" bestFit="1" customWidth="1"/>
    <col min="14090" max="14090" width="9" style="1" customWidth="1"/>
    <col min="14091" max="14335" width="9.140625" style="1"/>
    <col min="14336" max="14336" width="14.7109375" style="1" customWidth="1"/>
    <col min="14337" max="14337" width="7.85546875" style="1" bestFit="1" customWidth="1"/>
    <col min="14338" max="14338" width="10.5703125" style="1" customWidth="1"/>
    <col min="14339" max="14339" width="8.42578125" style="1" bestFit="1" customWidth="1"/>
    <col min="14340" max="14340" width="7.7109375" style="1" bestFit="1" customWidth="1"/>
    <col min="14341" max="14341" width="8.42578125" style="1" bestFit="1" customWidth="1"/>
    <col min="14342" max="14342" width="8.7109375" style="1" bestFit="1" customWidth="1"/>
    <col min="14343" max="14343" width="7.85546875" style="1" bestFit="1" customWidth="1"/>
    <col min="14344" max="14344" width="8.140625" style="1" bestFit="1" customWidth="1"/>
    <col min="14345" max="14345" width="13.140625" style="1" bestFit="1" customWidth="1"/>
    <col min="14346" max="14346" width="9" style="1" customWidth="1"/>
    <col min="14347" max="14591" width="9.140625" style="1"/>
    <col min="14592" max="14592" width="14.7109375" style="1" customWidth="1"/>
    <col min="14593" max="14593" width="7.85546875" style="1" bestFit="1" customWidth="1"/>
    <col min="14594" max="14594" width="10.5703125" style="1" customWidth="1"/>
    <col min="14595" max="14595" width="8.42578125" style="1" bestFit="1" customWidth="1"/>
    <col min="14596" max="14596" width="7.7109375" style="1" bestFit="1" customWidth="1"/>
    <col min="14597" max="14597" width="8.42578125" style="1" bestFit="1" customWidth="1"/>
    <col min="14598" max="14598" width="8.7109375" style="1" bestFit="1" customWidth="1"/>
    <col min="14599" max="14599" width="7.85546875" style="1" bestFit="1" customWidth="1"/>
    <col min="14600" max="14600" width="8.140625" style="1" bestFit="1" customWidth="1"/>
    <col min="14601" max="14601" width="13.140625" style="1" bestFit="1" customWidth="1"/>
    <col min="14602" max="14602" width="9" style="1" customWidth="1"/>
    <col min="14603" max="14847" width="9.140625" style="1"/>
    <col min="14848" max="14848" width="14.7109375" style="1" customWidth="1"/>
    <col min="14849" max="14849" width="7.85546875" style="1" bestFit="1" customWidth="1"/>
    <col min="14850" max="14850" width="10.5703125" style="1" customWidth="1"/>
    <col min="14851" max="14851" width="8.42578125" style="1" bestFit="1" customWidth="1"/>
    <col min="14852" max="14852" width="7.7109375" style="1" bestFit="1" customWidth="1"/>
    <col min="14853" max="14853" width="8.42578125" style="1" bestFit="1" customWidth="1"/>
    <col min="14854" max="14854" width="8.7109375" style="1" bestFit="1" customWidth="1"/>
    <col min="14855" max="14855" width="7.85546875" style="1" bestFit="1" customWidth="1"/>
    <col min="14856" max="14856" width="8.140625" style="1" bestFit="1" customWidth="1"/>
    <col min="14857" max="14857" width="13.140625" style="1" bestFit="1" customWidth="1"/>
    <col min="14858" max="14858" width="9" style="1" customWidth="1"/>
    <col min="14859" max="15103" width="9.140625" style="1"/>
    <col min="15104" max="15104" width="14.7109375" style="1" customWidth="1"/>
    <col min="15105" max="15105" width="7.85546875" style="1" bestFit="1" customWidth="1"/>
    <col min="15106" max="15106" width="10.5703125" style="1" customWidth="1"/>
    <col min="15107" max="15107" width="8.42578125" style="1" bestFit="1" customWidth="1"/>
    <col min="15108" max="15108" width="7.7109375" style="1" bestFit="1" customWidth="1"/>
    <col min="15109" max="15109" width="8.42578125" style="1" bestFit="1" customWidth="1"/>
    <col min="15110" max="15110" width="8.7109375" style="1" bestFit="1" customWidth="1"/>
    <col min="15111" max="15111" width="7.85546875" style="1" bestFit="1" customWidth="1"/>
    <col min="15112" max="15112" width="8.140625" style="1" bestFit="1" customWidth="1"/>
    <col min="15113" max="15113" width="13.140625" style="1" bestFit="1" customWidth="1"/>
    <col min="15114" max="15114" width="9" style="1" customWidth="1"/>
    <col min="15115" max="15359" width="9.140625" style="1"/>
    <col min="15360" max="15360" width="14.7109375" style="1" customWidth="1"/>
    <col min="15361" max="15361" width="7.85546875" style="1" bestFit="1" customWidth="1"/>
    <col min="15362" max="15362" width="10.5703125" style="1" customWidth="1"/>
    <col min="15363" max="15363" width="8.42578125" style="1" bestFit="1" customWidth="1"/>
    <col min="15364" max="15364" width="7.7109375" style="1" bestFit="1" customWidth="1"/>
    <col min="15365" max="15365" width="8.42578125" style="1" bestFit="1" customWidth="1"/>
    <col min="15366" max="15366" width="8.7109375" style="1" bestFit="1" customWidth="1"/>
    <col min="15367" max="15367" width="7.85546875" style="1" bestFit="1" customWidth="1"/>
    <col min="15368" max="15368" width="8.140625" style="1" bestFit="1" customWidth="1"/>
    <col min="15369" max="15369" width="13.140625" style="1" bestFit="1" customWidth="1"/>
    <col min="15370" max="15370" width="9" style="1" customWidth="1"/>
    <col min="15371" max="15615" width="9.140625" style="1"/>
    <col min="15616" max="15616" width="14.7109375" style="1" customWidth="1"/>
    <col min="15617" max="15617" width="7.85546875" style="1" bestFit="1" customWidth="1"/>
    <col min="15618" max="15618" width="10.5703125" style="1" customWidth="1"/>
    <col min="15619" max="15619" width="8.42578125" style="1" bestFit="1" customWidth="1"/>
    <col min="15620" max="15620" width="7.7109375" style="1" bestFit="1" customWidth="1"/>
    <col min="15621" max="15621" width="8.42578125" style="1" bestFit="1" customWidth="1"/>
    <col min="15622" max="15622" width="8.7109375" style="1" bestFit="1" customWidth="1"/>
    <col min="15623" max="15623" width="7.85546875" style="1" bestFit="1" customWidth="1"/>
    <col min="15624" max="15624" width="8.140625" style="1" bestFit="1" customWidth="1"/>
    <col min="15625" max="15625" width="13.140625" style="1" bestFit="1" customWidth="1"/>
    <col min="15626" max="15626" width="9" style="1" customWidth="1"/>
    <col min="15627" max="15871" width="9.140625" style="1"/>
    <col min="15872" max="15872" width="14.7109375" style="1" customWidth="1"/>
    <col min="15873" max="15873" width="7.85546875" style="1" bestFit="1" customWidth="1"/>
    <col min="15874" max="15874" width="10.5703125" style="1" customWidth="1"/>
    <col min="15875" max="15875" width="8.42578125" style="1" bestFit="1" customWidth="1"/>
    <col min="15876" max="15876" width="7.7109375" style="1" bestFit="1" customWidth="1"/>
    <col min="15877" max="15877" width="8.42578125" style="1" bestFit="1" customWidth="1"/>
    <col min="15878" max="15878" width="8.7109375" style="1" bestFit="1" customWidth="1"/>
    <col min="15879" max="15879" width="7.85546875" style="1" bestFit="1" customWidth="1"/>
    <col min="15880" max="15880" width="8.140625" style="1" bestFit="1" customWidth="1"/>
    <col min="15881" max="15881" width="13.140625" style="1" bestFit="1" customWidth="1"/>
    <col min="15882" max="15882" width="9" style="1" customWidth="1"/>
    <col min="15883" max="16127" width="9.140625" style="1"/>
    <col min="16128" max="16128" width="14.7109375" style="1" customWidth="1"/>
    <col min="16129" max="16129" width="7.85546875" style="1" bestFit="1" customWidth="1"/>
    <col min="16130" max="16130" width="10.5703125" style="1" customWidth="1"/>
    <col min="16131" max="16131" width="8.42578125" style="1" bestFit="1" customWidth="1"/>
    <col min="16132" max="16132" width="7.7109375" style="1" bestFit="1" customWidth="1"/>
    <col min="16133" max="16133" width="8.42578125" style="1" bestFit="1" customWidth="1"/>
    <col min="16134" max="16134" width="8.7109375" style="1" bestFit="1" customWidth="1"/>
    <col min="16135" max="16135" width="7.85546875" style="1" bestFit="1" customWidth="1"/>
    <col min="16136" max="16136" width="8.140625" style="1" bestFit="1" customWidth="1"/>
    <col min="16137" max="16137" width="13.140625" style="1" bestFit="1" customWidth="1"/>
    <col min="16138" max="16138" width="9" style="1" customWidth="1"/>
    <col min="16139" max="16384" width="9.140625" style="1"/>
  </cols>
  <sheetData>
    <row r="1" spans="1:13" s="7" customFormat="1" ht="35.25" customHeight="1" thickTop="1">
      <c r="A1" s="1868" t="s">
        <v>2589</v>
      </c>
      <c r="B1" s="1869"/>
      <c r="C1" s="1869"/>
      <c r="D1" s="1869"/>
      <c r="E1" s="1869"/>
      <c r="F1" s="1869"/>
      <c r="G1" s="1869"/>
      <c r="H1" s="1869"/>
      <c r="I1" s="1869"/>
      <c r="J1" s="1869"/>
      <c r="K1" s="1870"/>
    </row>
    <row r="2" spans="1:13" s="7" customFormat="1" ht="22.5" customHeight="1">
      <c r="A2" s="463"/>
      <c r="B2" s="468" t="s">
        <v>901</v>
      </c>
      <c r="C2" s="66"/>
      <c r="D2" s="66"/>
      <c r="E2" s="66"/>
      <c r="F2" s="66"/>
      <c r="G2" s="2004" t="s">
        <v>900</v>
      </c>
      <c r="H2" s="2004"/>
      <c r="I2" s="2004"/>
      <c r="J2" s="2004"/>
      <c r="K2" s="2005"/>
    </row>
    <row r="3" spans="1:13" s="465" customFormat="1" ht="93.75" customHeight="1">
      <c r="A3" s="1122" t="s">
        <v>899</v>
      </c>
      <c r="B3" s="467" t="s">
        <v>898</v>
      </c>
      <c r="C3" s="466" t="s">
        <v>897</v>
      </c>
      <c r="D3" s="466" t="s">
        <v>896</v>
      </c>
      <c r="E3" s="466" t="s">
        <v>895</v>
      </c>
      <c r="F3" s="466" t="s">
        <v>894</v>
      </c>
      <c r="G3" s="466" t="s">
        <v>893</v>
      </c>
      <c r="H3" s="466" t="s">
        <v>892</v>
      </c>
      <c r="I3" s="79" t="s">
        <v>891</v>
      </c>
      <c r="J3" s="79" t="s">
        <v>890</v>
      </c>
      <c r="K3" s="1149" t="s">
        <v>889</v>
      </c>
    </row>
    <row r="4" spans="1:13" s="7" customFormat="1" ht="18.75" hidden="1" customHeight="1">
      <c r="A4" s="464"/>
      <c r="B4" s="325" t="s">
        <v>886</v>
      </c>
      <c r="C4" s="461">
        <v>407.03899999999999</v>
      </c>
      <c r="D4" s="461">
        <v>38.585999999999999</v>
      </c>
      <c r="E4" s="461">
        <v>1.9890000000000001</v>
      </c>
      <c r="F4" s="461">
        <v>36.597000000000001</v>
      </c>
      <c r="G4" s="461">
        <v>23.969000000000001</v>
      </c>
      <c r="H4" s="461">
        <v>34.334000000000003</v>
      </c>
      <c r="I4" s="461">
        <v>-10.365</v>
      </c>
      <c r="J4" s="461">
        <v>433.27100000000002</v>
      </c>
      <c r="K4" s="459" t="s">
        <v>888</v>
      </c>
    </row>
    <row r="5" spans="1:13" s="7" customFormat="1" ht="18.75" hidden="1" customHeight="1">
      <c r="A5" s="1166" t="s">
        <v>485</v>
      </c>
      <c r="B5" s="325" t="s">
        <v>884</v>
      </c>
      <c r="C5" s="461">
        <v>30.228000000000002</v>
      </c>
      <c r="D5" s="461"/>
      <c r="E5" s="461"/>
      <c r="F5" s="462">
        <v>0</v>
      </c>
      <c r="G5" s="461">
        <v>0.53600000000000003</v>
      </c>
      <c r="H5" s="461">
        <v>0.52500000000000002</v>
      </c>
      <c r="I5" s="461">
        <v>1.0999999999999999E-2</v>
      </c>
      <c r="J5" s="461">
        <v>30.239000000000001</v>
      </c>
      <c r="K5" s="459" t="s">
        <v>885</v>
      </c>
    </row>
    <row r="6" spans="1:13" s="7" customFormat="1" ht="18.75" hidden="1" customHeight="1">
      <c r="A6" s="463"/>
      <c r="B6" s="325" t="s">
        <v>0</v>
      </c>
      <c r="C6" s="461">
        <f t="shared" ref="C6:J6" si="0">SUM(C4:C5)</f>
        <v>437.267</v>
      </c>
      <c r="D6" s="461">
        <f t="shared" si="0"/>
        <v>38.585999999999999</v>
      </c>
      <c r="E6" s="461">
        <f t="shared" si="0"/>
        <v>1.9890000000000001</v>
      </c>
      <c r="F6" s="461">
        <f t="shared" si="0"/>
        <v>36.597000000000001</v>
      </c>
      <c r="G6" s="461">
        <f t="shared" si="0"/>
        <v>24.505000000000003</v>
      </c>
      <c r="H6" s="461">
        <f t="shared" si="0"/>
        <v>34.859000000000002</v>
      </c>
      <c r="I6" s="461">
        <f t="shared" si="0"/>
        <v>-10.354000000000001</v>
      </c>
      <c r="J6" s="462">
        <f t="shared" si="0"/>
        <v>463.51</v>
      </c>
      <c r="K6" s="459" t="s">
        <v>143</v>
      </c>
    </row>
    <row r="7" spans="1:13" s="7" customFormat="1" ht="18.75" hidden="1" customHeight="1">
      <c r="A7" s="1166"/>
      <c r="B7" s="325" t="s">
        <v>886</v>
      </c>
      <c r="C7" s="461">
        <v>430.83199999999999</v>
      </c>
      <c r="D7" s="461">
        <v>43.081000000000003</v>
      </c>
      <c r="E7" s="461">
        <v>1.554</v>
      </c>
      <c r="F7" s="461">
        <v>41.527000000000001</v>
      </c>
      <c r="G7" s="461">
        <v>34.334000000000003</v>
      </c>
      <c r="H7" s="461">
        <v>44.347999999999999</v>
      </c>
      <c r="I7" s="461">
        <v>-10.013999999999999</v>
      </c>
      <c r="J7" s="461">
        <v>462.34500000000003</v>
      </c>
      <c r="K7" s="459" t="s">
        <v>887</v>
      </c>
    </row>
    <row r="8" spans="1:13" s="7" customFormat="1" ht="18.75" hidden="1" customHeight="1">
      <c r="A8" s="1166" t="s">
        <v>484</v>
      </c>
      <c r="B8" s="325" t="s">
        <v>884</v>
      </c>
      <c r="C8" s="461">
        <v>31.285</v>
      </c>
      <c r="D8" s="461"/>
      <c r="E8" s="461"/>
      <c r="F8" s="462">
        <v>0</v>
      </c>
      <c r="G8" s="461">
        <v>0.52500000000000002</v>
      </c>
      <c r="H8" s="461">
        <v>1.002</v>
      </c>
      <c r="I8" s="461">
        <v>-0.47699999999999998</v>
      </c>
      <c r="J8" s="461">
        <v>30.808</v>
      </c>
      <c r="K8" s="459" t="s">
        <v>885</v>
      </c>
    </row>
    <row r="9" spans="1:13" s="7" customFormat="1" ht="18.75" hidden="1" customHeight="1">
      <c r="A9" s="463"/>
      <c r="B9" s="325" t="s">
        <v>0</v>
      </c>
      <c r="C9" s="461">
        <f t="shared" ref="C9:J9" si="1">SUM(C7:C8)</f>
        <v>462.11700000000002</v>
      </c>
      <c r="D9" s="461">
        <f t="shared" si="1"/>
        <v>43.081000000000003</v>
      </c>
      <c r="E9" s="461">
        <f t="shared" si="1"/>
        <v>1.554</v>
      </c>
      <c r="F9" s="461">
        <f t="shared" si="1"/>
        <v>41.527000000000001</v>
      </c>
      <c r="G9" s="461">
        <f t="shared" si="1"/>
        <v>34.859000000000002</v>
      </c>
      <c r="H9" s="462">
        <f t="shared" si="1"/>
        <v>45.35</v>
      </c>
      <c r="I9" s="461">
        <f t="shared" si="1"/>
        <v>-10.491</v>
      </c>
      <c r="J9" s="461">
        <f t="shared" si="1"/>
        <v>493.15300000000002</v>
      </c>
      <c r="K9" s="459" t="s">
        <v>143</v>
      </c>
    </row>
    <row r="10" spans="1:13" s="7" customFormat="1" ht="18.75" hidden="1" customHeight="1">
      <c r="A10" s="458"/>
      <c r="B10" s="325" t="s">
        <v>886</v>
      </c>
      <c r="C10" s="3">
        <v>457.08199999999999</v>
      </c>
      <c r="D10" s="3">
        <v>49.793999999999997</v>
      </c>
      <c r="E10" s="3">
        <v>1.627</v>
      </c>
      <c r="F10" s="3">
        <v>48.167000000000002</v>
      </c>
      <c r="G10" s="3">
        <v>44.347999999999999</v>
      </c>
      <c r="H10" s="3">
        <v>46.779000000000003</v>
      </c>
      <c r="I10" s="3">
        <f t="shared" ref="I10:I45" si="2">G10-H10</f>
        <v>-2.4310000000000045</v>
      </c>
      <c r="J10" s="3">
        <v>502.81799999999998</v>
      </c>
      <c r="K10" s="459" t="s">
        <v>887</v>
      </c>
    </row>
    <row r="11" spans="1:13" s="7" customFormat="1" ht="18.75" hidden="1" customHeight="1">
      <c r="A11" s="458" t="s">
        <v>483</v>
      </c>
      <c r="B11" s="325" t="s">
        <v>884</v>
      </c>
      <c r="C11" s="56">
        <v>33.979999999999997</v>
      </c>
      <c r="D11" s="3"/>
      <c r="E11" s="3"/>
      <c r="F11" s="3">
        <v>0</v>
      </c>
      <c r="G11" s="3">
        <v>1.002</v>
      </c>
      <c r="H11" s="3">
        <v>0.32800000000000001</v>
      </c>
      <c r="I11" s="3">
        <f t="shared" si="2"/>
        <v>0.67399999999999993</v>
      </c>
      <c r="J11" s="3">
        <v>34.654000000000003</v>
      </c>
      <c r="K11" s="459" t="s">
        <v>885</v>
      </c>
    </row>
    <row r="12" spans="1:13" s="7" customFormat="1" ht="18.75" hidden="1" customHeight="1">
      <c r="A12" s="460"/>
      <c r="B12" s="325" t="s">
        <v>0</v>
      </c>
      <c r="C12" s="3">
        <f t="shared" ref="C12:H12" si="3">SUM(C10:C11)</f>
        <v>491.06200000000001</v>
      </c>
      <c r="D12" s="3">
        <f t="shared" si="3"/>
        <v>49.793999999999997</v>
      </c>
      <c r="E12" s="3">
        <f t="shared" si="3"/>
        <v>1.627</v>
      </c>
      <c r="F12" s="3">
        <f t="shared" si="3"/>
        <v>48.167000000000002</v>
      </c>
      <c r="G12" s="56">
        <f t="shared" si="3"/>
        <v>45.35</v>
      </c>
      <c r="H12" s="3">
        <f t="shared" si="3"/>
        <v>47.107000000000006</v>
      </c>
      <c r="I12" s="3">
        <f t="shared" si="2"/>
        <v>-1.757000000000005</v>
      </c>
      <c r="J12" s="3">
        <v>537.47199999999998</v>
      </c>
      <c r="K12" s="459" t="s">
        <v>143</v>
      </c>
    </row>
    <row r="13" spans="1:13" s="7" customFormat="1" ht="18.75" hidden="1" customHeight="1">
      <c r="A13" s="458"/>
      <c r="B13" s="325" t="s">
        <v>886</v>
      </c>
      <c r="C13" s="3">
        <v>492.75700000000001</v>
      </c>
      <c r="D13" s="3">
        <v>59.003</v>
      </c>
      <c r="E13" s="3">
        <v>1.655</v>
      </c>
      <c r="F13" s="3">
        <v>57.347999999999999</v>
      </c>
      <c r="G13" s="3">
        <v>46.779000000000003</v>
      </c>
      <c r="H13" s="3">
        <v>47.317</v>
      </c>
      <c r="I13" s="3">
        <f t="shared" si="2"/>
        <v>-0.5379999999999967</v>
      </c>
      <c r="J13" s="3">
        <v>549.56700000000001</v>
      </c>
      <c r="K13" s="454" t="s">
        <v>887</v>
      </c>
    </row>
    <row r="14" spans="1:13" s="7" customFormat="1" ht="18.75" hidden="1" customHeight="1">
      <c r="A14" s="458" t="s">
        <v>482</v>
      </c>
      <c r="B14" s="325" t="s">
        <v>884</v>
      </c>
      <c r="C14" s="3">
        <v>32.420999999999999</v>
      </c>
      <c r="D14" s="3"/>
      <c r="E14" s="3"/>
      <c r="F14" s="3">
        <v>0</v>
      </c>
      <c r="G14" s="3">
        <v>0.32800000000000001</v>
      </c>
      <c r="H14" s="3">
        <v>0.90300000000000002</v>
      </c>
      <c r="I14" s="3">
        <f t="shared" si="2"/>
        <v>-0.57499999999999996</v>
      </c>
      <c r="J14" s="3">
        <v>31.846</v>
      </c>
      <c r="K14" s="454" t="s">
        <v>885</v>
      </c>
    </row>
    <row r="15" spans="1:13" s="33" customFormat="1" ht="18.75" hidden="1" customHeight="1">
      <c r="A15" s="1161"/>
      <c r="B15" s="1160" t="s">
        <v>0</v>
      </c>
      <c r="C15" s="4">
        <f t="shared" ref="C15:H15" si="4">SUM(C13:C14)</f>
        <v>525.178</v>
      </c>
      <c r="D15" s="4">
        <f t="shared" si="4"/>
        <v>59.003</v>
      </c>
      <c r="E15" s="4">
        <f t="shared" si="4"/>
        <v>1.655</v>
      </c>
      <c r="F15" s="4">
        <f t="shared" si="4"/>
        <v>57.347999999999999</v>
      </c>
      <c r="G15" s="4">
        <f t="shared" si="4"/>
        <v>47.107000000000006</v>
      </c>
      <c r="H15" s="457">
        <f t="shared" si="4"/>
        <v>48.22</v>
      </c>
      <c r="I15" s="3">
        <f t="shared" si="2"/>
        <v>-1.1129999999999924</v>
      </c>
      <c r="J15" s="4">
        <f>SUM(J13:J14)</f>
        <v>581.41300000000001</v>
      </c>
      <c r="K15" s="453" t="s">
        <v>143</v>
      </c>
    </row>
    <row r="16" spans="1:13" s="7" customFormat="1" ht="24" hidden="1" customHeight="1">
      <c r="A16" s="1955" t="s">
        <v>497</v>
      </c>
      <c r="B16" s="454" t="s">
        <v>887</v>
      </c>
      <c r="C16" s="456">
        <v>532.04200000000003</v>
      </c>
      <c r="D16" s="456">
        <v>73.254999999999995</v>
      </c>
      <c r="E16" s="456">
        <v>2.4540000000000002</v>
      </c>
      <c r="F16" s="456">
        <f>D16-E16</f>
        <v>70.801000000000002</v>
      </c>
      <c r="G16" s="456">
        <v>47.317</v>
      </c>
      <c r="H16" s="456">
        <v>64.863</v>
      </c>
      <c r="I16" s="36">
        <f t="shared" si="2"/>
        <v>-17.545999999999999</v>
      </c>
      <c r="J16" s="455">
        <f>C16+F16-I16</f>
        <v>620.38900000000012</v>
      </c>
      <c r="K16" s="1213" t="s">
        <v>886</v>
      </c>
      <c r="L16" s="452"/>
      <c r="M16" s="452"/>
    </row>
    <row r="17" spans="1:13" s="7" customFormat="1" ht="24" hidden="1" customHeight="1">
      <c r="A17" s="1955"/>
      <c r="B17" s="454" t="s">
        <v>885</v>
      </c>
      <c r="C17" s="456">
        <v>34.070999999999998</v>
      </c>
      <c r="D17" s="456"/>
      <c r="E17" s="456"/>
      <c r="F17" s="456"/>
      <c r="G17" s="456">
        <v>0.90300000000000002</v>
      </c>
      <c r="H17" s="456">
        <v>0.56499999999999995</v>
      </c>
      <c r="I17" s="3">
        <f t="shared" si="2"/>
        <v>0.33800000000000008</v>
      </c>
      <c r="J17" s="455">
        <f>C17+F17-I17</f>
        <v>33.732999999999997</v>
      </c>
      <c r="K17" s="1213" t="s">
        <v>884</v>
      </c>
      <c r="M17" s="452"/>
    </row>
    <row r="18" spans="1:13" s="33" customFormat="1" hidden="1">
      <c r="A18" s="1955"/>
      <c r="B18" s="453" t="s">
        <v>143</v>
      </c>
      <c r="C18" s="455">
        <v>566.11300000000006</v>
      </c>
      <c r="D18" s="455">
        <v>73.254999999999995</v>
      </c>
      <c r="E18" s="455">
        <v>2.4540000000000002</v>
      </c>
      <c r="F18" s="455">
        <v>70.801000000000002</v>
      </c>
      <c r="G18" s="455">
        <v>48.22</v>
      </c>
      <c r="H18" s="455">
        <v>65.427999999999997</v>
      </c>
      <c r="I18" s="456">
        <f t="shared" si="2"/>
        <v>-17.207999999999998</v>
      </c>
      <c r="J18" s="455">
        <f t="shared" ref="J18:J48" si="5">C18+F18+I18</f>
        <v>619.70600000000013</v>
      </c>
      <c r="K18" s="1214" t="s">
        <v>0</v>
      </c>
      <c r="M18" s="452"/>
    </row>
    <row r="19" spans="1:13" s="7" customFormat="1" ht="17.25" hidden="1" customHeight="1">
      <c r="A19" s="1955" t="s">
        <v>1</v>
      </c>
      <c r="B19" s="454" t="s">
        <v>887</v>
      </c>
      <c r="C19" s="456">
        <v>532.69399999999996</v>
      </c>
      <c r="D19" s="456">
        <v>68.918000000000006</v>
      </c>
      <c r="E19" s="456">
        <v>4.4089559999999999</v>
      </c>
      <c r="F19" s="456">
        <f>D19-E19</f>
        <v>64.509044000000003</v>
      </c>
      <c r="G19" s="456">
        <v>64.863</v>
      </c>
      <c r="H19" s="456">
        <v>72.191999999999993</v>
      </c>
      <c r="I19" s="456">
        <f t="shared" si="2"/>
        <v>-7.3289999999999935</v>
      </c>
      <c r="J19" s="455">
        <f t="shared" si="5"/>
        <v>589.87404400000003</v>
      </c>
      <c r="K19" s="1213" t="s">
        <v>886</v>
      </c>
      <c r="M19" s="452"/>
    </row>
    <row r="20" spans="1:13" s="7" customFormat="1" ht="17.25" hidden="1" customHeight="1">
      <c r="A20" s="1955"/>
      <c r="B20" s="454" t="s">
        <v>885</v>
      </c>
      <c r="C20" s="456">
        <v>37.732999999999997</v>
      </c>
      <c r="D20" s="456"/>
      <c r="E20" s="456"/>
      <c r="F20" s="456"/>
      <c r="G20" s="456">
        <v>0.56499999999999995</v>
      </c>
      <c r="H20" s="456">
        <v>0.61</v>
      </c>
      <c r="I20" s="456">
        <f t="shared" si="2"/>
        <v>-4.500000000000004E-2</v>
      </c>
      <c r="J20" s="455">
        <f t="shared" si="5"/>
        <v>37.687999999999995</v>
      </c>
      <c r="K20" s="1213" t="s">
        <v>884</v>
      </c>
      <c r="M20" s="452"/>
    </row>
    <row r="21" spans="1:13" s="33" customFormat="1" ht="17.25" hidden="1" customHeight="1">
      <c r="A21" s="1955"/>
      <c r="B21" s="453" t="s">
        <v>143</v>
      </c>
      <c r="C21" s="455">
        <v>570.42699999999991</v>
      </c>
      <c r="D21" s="455">
        <v>68.918000000000006</v>
      </c>
      <c r="E21" s="455">
        <v>4.4089559999999999</v>
      </c>
      <c r="F21" s="455">
        <v>64.509044000000003</v>
      </c>
      <c r="G21" s="455">
        <v>65.427999999999997</v>
      </c>
      <c r="H21" s="455">
        <v>72.801999999999992</v>
      </c>
      <c r="I21" s="455">
        <f t="shared" si="2"/>
        <v>-7.3739999999999952</v>
      </c>
      <c r="J21" s="455">
        <f t="shared" si="5"/>
        <v>627.5620439999999</v>
      </c>
      <c r="K21" s="1214" t="s">
        <v>0</v>
      </c>
      <c r="M21" s="452"/>
    </row>
    <row r="22" spans="1:13" s="7" customFormat="1" ht="17.25" customHeight="1">
      <c r="A22" s="1955" t="s">
        <v>2</v>
      </c>
      <c r="B22" s="91" t="s">
        <v>887</v>
      </c>
      <c r="C22" s="1742">
        <v>539.95000000000005</v>
      </c>
      <c r="D22" s="456">
        <v>102.85299999999999</v>
      </c>
      <c r="E22" s="456">
        <v>2.032</v>
      </c>
      <c r="F22" s="456">
        <f>D22-E22</f>
        <v>100.821</v>
      </c>
      <c r="G22" s="456">
        <v>72.191999999999993</v>
      </c>
      <c r="H22" s="456">
        <v>74.040000000000006</v>
      </c>
      <c r="I22" s="456">
        <f t="shared" si="2"/>
        <v>-1.8480000000000132</v>
      </c>
      <c r="J22" s="455">
        <f t="shared" si="5"/>
        <v>638.923</v>
      </c>
      <c r="K22" s="1213" t="s">
        <v>886</v>
      </c>
      <c r="M22" s="452"/>
    </row>
    <row r="23" spans="1:13" s="7" customFormat="1" ht="17.25" customHeight="1">
      <c r="A23" s="1955"/>
      <c r="B23" s="91" t="s">
        <v>885</v>
      </c>
      <c r="C23" s="1742">
        <v>42.332000000000001</v>
      </c>
      <c r="D23" s="456"/>
      <c r="E23" s="456"/>
      <c r="F23" s="456"/>
      <c r="G23" s="456">
        <v>0.61</v>
      </c>
      <c r="H23" s="456">
        <v>1.0509999999999999</v>
      </c>
      <c r="I23" s="456">
        <f t="shared" si="2"/>
        <v>-0.44099999999999995</v>
      </c>
      <c r="J23" s="455">
        <f t="shared" si="5"/>
        <v>41.890999999999998</v>
      </c>
      <c r="K23" s="1213" t="s">
        <v>884</v>
      </c>
      <c r="M23" s="452"/>
    </row>
    <row r="24" spans="1:13" s="33" customFormat="1" ht="17.25" customHeight="1">
      <c r="A24" s="1955"/>
      <c r="B24" s="1130" t="s">
        <v>143</v>
      </c>
      <c r="C24" s="1741">
        <v>582.28200000000004</v>
      </c>
      <c r="D24" s="455">
        <v>102.85299999999999</v>
      </c>
      <c r="E24" s="455">
        <v>2.032</v>
      </c>
      <c r="F24" s="455">
        <v>100.839</v>
      </c>
      <c r="G24" s="455">
        <v>72.801999999999992</v>
      </c>
      <c r="H24" s="455">
        <v>75.091000000000008</v>
      </c>
      <c r="I24" s="455">
        <f t="shared" si="2"/>
        <v>-2.2890000000000157</v>
      </c>
      <c r="J24" s="455">
        <f t="shared" si="5"/>
        <v>680.83200000000011</v>
      </c>
      <c r="K24" s="1214" t="s">
        <v>0</v>
      </c>
      <c r="M24" s="452"/>
    </row>
    <row r="25" spans="1:13" s="7" customFormat="1" ht="17.25" customHeight="1">
      <c r="A25" s="1955" t="s">
        <v>3</v>
      </c>
      <c r="B25" s="91" t="s">
        <v>887</v>
      </c>
      <c r="C25" s="1742">
        <v>556.40200000000004</v>
      </c>
      <c r="D25" s="456">
        <v>145.785</v>
      </c>
      <c r="E25" s="456">
        <v>2.4430000000000001</v>
      </c>
      <c r="F25" s="456">
        <f>D25-E25</f>
        <v>143.34199999999998</v>
      </c>
      <c r="G25" s="456">
        <v>74.040000000000006</v>
      </c>
      <c r="H25" s="456">
        <v>63.048999999999999</v>
      </c>
      <c r="I25" s="456">
        <f t="shared" si="2"/>
        <v>10.991000000000007</v>
      </c>
      <c r="J25" s="455">
        <f t="shared" si="5"/>
        <v>710.73500000000001</v>
      </c>
      <c r="K25" s="1213" t="s">
        <v>886</v>
      </c>
      <c r="M25" s="452"/>
    </row>
    <row r="26" spans="1:13" s="7" customFormat="1" ht="17.25" customHeight="1">
      <c r="A26" s="1955"/>
      <c r="B26" s="91" t="s">
        <v>885</v>
      </c>
      <c r="C26" s="1742">
        <v>46.453000000000003</v>
      </c>
      <c r="D26" s="456">
        <v>6.4800000000000003E-4</v>
      </c>
      <c r="E26" s="456">
        <v>6.9063000000000013E-2</v>
      </c>
      <c r="F26" s="456">
        <v>-6.8415000000000017E-2</v>
      </c>
      <c r="G26" s="456">
        <v>1.0509999999999999</v>
      </c>
      <c r="H26" s="456">
        <v>1.4930000000000001</v>
      </c>
      <c r="I26" s="456">
        <f t="shared" si="2"/>
        <v>-0.44200000000000017</v>
      </c>
      <c r="J26" s="455">
        <f t="shared" si="5"/>
        <v>45.942585000000001</v>
      </c>
      <c r="K26" s="1213" t="s">
        <v>884</v>
      </c>
      <c r="M26" s="452"/>
    </row>
    <row r="27" spans="1:13" s="33" customFormat="1" ht="17.25" customHeight="1">
      <c r="A27" s="1955"/>
      <c r="B27" s="1130" t="s">
        <v>143</v>
      </c>
      <c r="C27" s="1741">
        <v>602.85500000000002</v>
      </c>
      <c r="D27" s="455">
        <v>145.78564800000001</v>
      </c>
      <c r="E27" s="455">
        <v>2.5120629999999999</v>
      </c>
      <c r="F27" s="455">
        <v>143.273585</v>
      </c>
      <c r="G27" s="455">
        <v>75.091000000000008</v>
      </c>
      <c r="H27" s="455">
        <v>64.542000000000002</v>
      </c>
      <c r="I27" s="455">
        <f t="shared" si="2"/>
        <v>10.549000000000007</v>
      </c>
      <c r="J27" s="455">
        <f t="shared" si="5"/>
        <v>756.67758500000002</v>
      </c>
      <c r="K27" s="1214" t="s">
        <v>0</v>
      </c>
      <c r="M27" s="452"/>
    </row>
    <row r="28" spans="1:13" s="7" customFormat="1" ht="17.25" customHeight="1">
      <c r="A28" s="1955" t="s">
        <v>13</v>
      </c>
      <c r="B28" s="91" t="s">
        <v>887</v>
      </c>
      <c r="C28" s="1742">
        <v>565.76599999999996</v>
      </c>
      <c r="D28" s="456">
        <v>168.43899999999999</v>
      </c>
      <c r="E28" s="456">
        <v>2.153</v>
      </c>
      <c r="F28" s="456">
        <f>D28-E28</f>
        <v>166.286</v>
      </c>
      <c r="G28" s="456">
        <v>63.048999999999999</v>
      </c>
      <c r="H28" s="456">
        <v>55.177999999999997</v>
      </c>
      <c r="I28" s="456">
        <f t="shared" si="2"/>
        <v>7.8710000000000022</v>
      </c>
      <c r="J28" s="455">
        <f t="shared" si="5"/>
        <v>739.92299999999989</v>
      </c>
      <c r="K28" s="1213" t="s">
        <v>886</v>
      </c>
      <c r="M28" s="452"/>
    </row>
    <row r="29" spans="1:13" s="7" customFormat="1" ht="17.25" customHeight="1">
      <c r="A29" s="1955"/>
      <c r="B29" s="91" t="s">
        <v>885</v>
      </c>
      <c r="C29" s="1742">
        <v>44.271000000000001</v>
      </c>
      <c r="D29" s="456">
        <v>1.2669999999999999E-3</v>
      </c>
      <c r="E29" s="456">
        <v>1.9350000000000001E-3</v>
      </c>
      <c r="F29" s="456">
        <v>-6.6800000000000019E-4</v>
      </c>
      <c r="G29" s="456">
        <v>1.4930000000000001</v>
      </c>
      <c r="H29" s="456">
        <v>1.86</v>
      </c>
      <c r="I29" s="456">
        <f t="shared" si="2"/>
        <v>-0.36699999999999999</v>
      </c>
      <c r="J29" s="455">
        <f t="shared" si="5"/>
        <v>43.903332000000006</v>
      </c>
      <c r="K29" s="1213" t="s">
        <v>884</v>
      </c>
      <c r="M29" s="452"/>
    </row>
    <row r="30" spans="1:13" s="33" customFormat="1" ht="17.25" customHeight="1">
      <c r="A30" s="1955"/>
      <c r="B30" s="1130" t="s">
        <v>143</v>
      </c>
      <c r="C30" s="1741">
        <v>610.03699999999992</v>
      </c>
      <c r="D30" s="455">
        <v>168.44026700000001</v>
      </c>
      <c r="E30" s="455">
        <v>2.154935</v>
      </c>
      <c r="F30" s="455">
        <v>166.28533200000001</v>
      </c>
      <c r="G30" s="455">
        <v>64.542000000000002</v>
      </c>
      <c r="H30" s="455">
        <v>57.037999999999997</v>
      </c>
      <c r="I30" s="455">
        <f t="shared" si="2"/>
        <v>7.5040000000000049</v>
      </c>
      <c r="J30" s="455">
        <f t="shared" si="5"/>
        <v>783.82633199999998</v>
      </c>
      <c r="K30" s="1214" t="s">
        <v>0</v>
      </c>
      <c r="M30" s="452"/>
    </row>
    <row r="31" spans="1:13" s="7" customFormat="1" ht="17.25" customHeight="1">
      <c r="A31" s="1955" t="s">
        <v>41</v>
      </c>
      <c r="B31" s="91" t="s">
        <v>887</v>
      </c>
      <c r="C31" s="1742">
        <v>609.17900000000009</v>
      </c>
      <c r="D31" s="456">
        <v>212.10346699999997</v>
      </c>
      <c r="E31" s="456">
        <v>1.238375</v>
      </c>
      <c r="F31" s="456">
        <f>D31-E31</f>
        <v>210.86509199999998</v>
      </c>
      <c r="G31" s="456">
        <f>H28</f>
        <v>55.177999999999997</v>
      </c>
      <c r="H31" s="456">
        <v>59.389000000000003</v>
      </c>
      <c r="I31" s="456">
        <f t="shared" si="2"/>
        <v>-4.2110000000000056</v>
      </c>
      <c r="J31" s="455">
        <f t="shared" si="5"/>
        <v>815.83309200000008</v>
      </c>
      <c r="K31" s="1213" t="s">
        <v>886</v>
      </c>
      <c r="M31" s="452"/>
    </row>
    <row r="32" spans="1:13" s="7" customFormat="1" ht="17.25" customHeight="1">
      <c r="A32" s="1955"/>
      <c r="B32" s="91" t="s">
        <v>885</v>
      </c>
      <c r="C32" s="1742">
        <v>48.256999999999998</v>
      </c>
      <c r="D32" s="456">
        <v>6.3999999999999994E-4</v>
      </c>
      <c r="E32" s="456">
        <v>2.8479999999999998E-3</v>
      </c>
      <c r="F32" s="456">
        <f>D32-E32</f>
        <v>-2.2079999999999999E-3</v>
      </c>
      <c r="G32" s="456">
        <f>H29</f>
        <v>1.86</v>
      </c>
      <c r="H32" s="456">
        <v>3.1760000000000002</v>
      </c>
      <c r="I32" s="456">
        <f t="shared" si="2"/>
        <v>-1.3160000000000001</v>
      </c>
      <c r="J32" s="455">
        <f t="shared" si="5"/>
        <v>46.938791999999992</v>
      </c>
      <c r="K32" s="1213" t="s">
        <v>884</v>
      </c>
      <c r="M32" s="452"/>
    </row>
    <row r="33" spans="1:16" s="33" customFormat="1" ht="17.25" customHeight="1">
      <c r="A33" s="1955"/>
      <c r="B33" s="1130" t="s">
        <v>143</v>
      </c>
      <c r="C33" s="1741">
        <f>SUM(C31:C32)</f>
        <v>657.43600000000004</v>
      </c>
      <c r="D33" s="455">
        <f>SUM(D31:D32)</f>
        <v>212.10410699999997</v>
      </c>
      <c r="E33" s="455">
        <f>SUM(E31:E32)</f>
        <v>1.241223</v>
      </c>
      <c r="F33" s="455">
        <f>D33-E33</f>
        <v>210.86288399999998</v>
      </c>
      <c r="G33" s="455">
        <f>SUM(G31:G32)</f>
        <v>57.037999999999997</v>
      </c>
      <c r="H33" s="455">
        <f>SUM(H31:H32)</f>
        <v>62.565000000000005</v>
      </c>
      <c r="I33" s="455">
        <f t="shared" si="2"/>
        <v>-5.5270000000000081</v>
      </c>
      <c r="J33" s="455">
        <f t="shared" si="5"/>
        <v>862.771884</v>
      </c>
      <c r="K33" s="1214" t="s">
        <v>0</v>
      </c>
      <c r="M33" s="452"/>
    </row>
    <row r="34" spans="1:16" s="7" customFormat="1" ht="17.25" customHeight="1">
      <c r="A34" s="1955" t="s">
        <v>42</v>
      </c>
      <c r="B34" s="91" t="s">
        <v>887</v>
      </c>
      <c r="C34" s="1742">
        <v>639.23</v>
      </c>
      <c r="D34" s="456">
        <v>203.94926100000001</v>
      </c>
      <c r="E34" s="456">
        <v>1.575186</v>
      </c>
      <c r="F34" s="456">
        <f>D34-E34</f>
        <v>202.374075</v>
      </c>
      <c r="G34" s="456">
        <f>H31</f>
        <v>59.389000000000003</v>
      </c>
      <c r="H34" s="456">
        <v>65.361000000000004</v>
      </c>
      <c r="I34" s="456">
        <f t="shared" si="2"/>
        <v>-5.9720000000000013</v>
      </c>
      <c r="J34" s="455">
        <f t="shared" si="5"/>
        <v>835.63207499999999</v>
      </c>
      <c r="K34" s="1213" t="s">
        <v>886</v>
      </c>
      <c r="M34" s="452"/>
    </row>
    <row r="35" spans="1:16" s="7" customFormat="1" ht="17.25" customHeight="1">
      <c r="A35" s="1955"/>
      <c r="B35" s="91" t="s">
        <v>885</v>
      </c>
      <c r="C35" s="1742">
        <v>43.841999999999999</v>
      </c>
      <c r="D35" s="456">
        <v>1.0480000000000001E-3</v>
      </c>
      <c r="E35" s="456">
        <v>5.1199999999999998E-4</v>
      </c>
      <c r="F35" s="456">
        <f>D35-E35</f>
        <v>5.3600000000000013E-4</v>
      </c>
      <c r="G35" s="456">
        <f>H32</f>
        <v>3.1760000000000002</v>
      </c>
      <c r="H35" s="456">
        <v>4.8090000000000002</v>
      </c>
      <c r="I35" s="456">
        <f t="shared" si="2"/>
        <v>-1.633</v>
      </c>
      <c r="J35" s="455">
        <f t="shared" si="5"/>
        <v>42.209535999999993</v>
      </c>
      <c r="K35" s="1213" t="s">
        <v>884</v>
      </c>
      <c r="M35" s="452"/>
    </row>
    <row r="36" spans="1:16" s="33" customFormat="1" ht="17.25" customHeight="1">
      <c r="A36" s="1955"/>
      <c r="B36" s="1130" t="s">
        <v>143</v>
      </c>
      <c r="C36" s="1741">
        <f t="shared" ref="C36:H36" si="6">SUM(C34:C35)</f>
        <v>683.072</v>
      </c>
      <c r="D36" s="455">
        <f t="shared" si="6"/>
        <v>203.950309</v>
      </c>
      <c r="E36" s="455">
        <f t="shared" si="6"/>
        <v>1.575698</v>
      </c>
      <c r="F36" s="455">
        <f t="shared" si="6"/>
        <v>202.37461100000002</v>
      </c>
      <c r="G36" s="455">
        <f t="shared" si="6"/>
        <v>62.565000000000005</v>
      </c>
      <c r="H36" s="455">
        <f t="shared" si="6"/>
        <v>70.17</v>
      </c>
      <c r="I36" s="455">
        <f t="shared" si="2"/>
        <v>-7.6049999999999969</v>
      </c>
      <c r="J36" s="455">
        <f t="shared" si="5"/>
        <v>877.84161100000006</v>
      </c>
      <c r="K36" s="1214" t="s">
        <v>0</v>
      </c>
      <c r="M36" s="452"/>
    </row>
    <row r="37" spans="1:16" s="7" customFormat="1" ht="17.25" customHeight="1">
      <c r="A37" s="1955" t="s">
        <v>129</v>
      </c>
      <c r="B37" s="91" t="s">
        <v>887</v>
      </c>
      <c r="C37" s="1742">
        <v>657.86800000000017</v>
      </c>
      <c r="D37" s="456">
        <v>190.95304599999997</v>
      </c>
      <c r="E37" s="456">
        <v>1.7726470000000003</v>
      </c>
      <c r="F37" s="456">
        <f>D37-E37</f>
        <v>189.18039899999997</v>
      </c>
      <c r="G37" s="456">
        <f>H34</f>
        <v>65.361000000000004</v>
      </c>
      <c r="H37" s="456">
        <v>75.951999999999998</v>
      </c>
      <c r="I37" s="456">
        <f t="shared" si="2"/>
        <v>-10.590999999999994</v>
      </c>
      <c r="J37" s="455">
        <f t="shared" si="5"/>
        <v>836.45739900000012</v>
      </c>
      <c r="K37" s="1213" t="s">
        <v>886</v>
      </c>
      <c r="M37" s="452"/>
    </row>
    <row r="38" spans="1:16" s="7" customFormat="1" ht="17.25" customHeight="1">
      <c r="A38" s="1955"/>
      <c r="B38" s="91" t="s">
        <v>885</v>
      </c>
      <c r="C38" s="1742">
        <v>45.230000000000004</v>
      </c>
      <c r="D38" s="456">
        <v>1.9116000000000001E-2</v>
      </c>
      <c r="E38" s="456">
        <v>5.3819999999999996E-3</v>
      </c>
      <c r="F38" s="456">
        <f>D38-E38</f>
        <v>1.3734000000000001E-2</v>
      </c>
      <c r="G38" s="456">
        <v>3.1760000000000002</v>
      </c>
      <c r="H38" s="456">
        <v>6.883</v>
      </c>
      <c r="I38" s="456">
        <f t="shared" si="2"/>
        <v>-3.7069999999999999</v>
      </c>
      <c r="J38" s="455">
        <f t="shared" si="5"/>
        <v>41.536734000000003</v>
      </c>
      <c r="K38" s="1213" t="s">
        <v>884</v>
      </c>
      <c r="M38" s="452"/>
    </row>
    <row r="39" spans="1:16" s="33" customFormat="1" ht="17.25" customHeight="1" thickBot="1">
      <c r="A39" s="1959"/>
      <c r="B39" s="1623" t="s">
        <v>143</v>
      </c>
      <c r="C39" s="1743">
        <f t="shared" ref="C39:H39" si="7">SUM(C37:C38)</f>
        <v>703.09800000000018</v>
      </c>
      <c r="D39" s="1744">
        <f t="shared" si="7"/>
        <v>190.97216199999997</v>
      </c>
      <c r="E39" s="1744">
        <f t="shared" si="7"/>
        <v>1.7780290000000003</v>
      </c>
      <c r="F39" s="1744">
        <f t="shared" si="7"/>
        <v>189.19413299999997</v>
      </c>
      <c r="G39" s="1744">
        <f t="shared" si="7"/>
        <v>68.537000000000006</v>
      </c>
      <c r="H39" s="1744">
        <f t="shared" si="7"/>
        <v>82.834999999999994</v>
      </c>
      <c r="I39" s="1744">
        <f t="shared" si="2"/>
        <v>-14.297999999999988</v>
      </c>
      <c r="J39" s="1744">
        <f t="shared" si="5"/>
        <v>877.99413300000015</v>
      </c>
      <c r="K39" s="1745" t="s">
        <v>0</v>
      </c>
      <c r="M39" s="452"/>
    </row>
    <row r="40" spans="1:16" s="7" customFormat="1" ht="17.25" customHeight="1" thickTop="1">
      <c r="A40" s="1954" t="s">
        <v>142</v>
      </c>
      <c r="B40" s="1618" t="s">
        <v>887</v>
      </c>
      <c r="C40" s="1746">
        <v>675.4</v>
      </c>
      <c r="D40" s="1747">
        <v>208.249</v>
      </c>
      <c r="E40" s="1747">
        <v>1.504</v>
      </c>
      <c r="F40" s="1747">
        <f>D40-E40</f>
        <v>206.745</v>
      </c>
      <c r="G40" s="1747">
        <v>75.951999999999998</v>
      </c>
      <c r="H40" s="1747">
        <v>62.036000000000001</v>
      </c>
      <c r="I40" s="1747">
        <f t="shared" si="2"/>
        <v>13.915999999999997</v>
      </c>
      <c r="J40" s="1748">
        <f t="shared" si="5"/>
        <v>896.06099999999992</v>
      </c>
      <c r="K40" s="1749" t="s">
        <v>886</v>
      </c>
      <c r="M40" s="452"/>
    </row>
    <row r="41" spans="1:16" s="7" customFormat="1" ht="17.25" customHeight="1">
      <c r="A41" s="1955"/>
      <c r="B41" s="91" t="s">
        <v>885</v>
      </c>
      <c r="C41" s="1742">
        <v>46.643999999999998</v>
      </c>
      <c r="D41" s="456">
        <v>1.04E-2</v>
      </c>
      <c r="E41" s="456">
        <v>4.4000000000000003E-3</v>
      </c>
      <c r="F41" s="456">
        <f>D41-E41</f>
        <v>5.9999999999999993E-3</v>
      </c>
      <c r="G41" s="456">
        <v>6.883</v>
      </c>
      <c r="H41" s="456">
        <v>7.21</v>
      </c>
      <c r="I41" s="456">
        <f t="shared" si="2"/>
        <v>-0.32699999999999996</v>
      </c>
      <c r="J41" s="455">
        <f t="shared" si="5"/>
        <v>46.323</v>
      </c>
      <c r="K41" s="1213" t="s">
        <v>884</v>
      </c>
      <c r="M41" s="452"/>
    </row>
    <row r="42" spans="1:16" s="33" customFormat="1" ht="17.25" customHeight="1">
      <c r="A42" s="1955"/>
      <c r="B42" s="1130" t="s">
        <v>143</v>
      </c>
      <c r="C42" s="1741">
        <f t="shared" ref="C42:H42" si="8">SUM(C40:C41)</f>
        <v>722.04399999999998</v>
      </c>
      <c r="D42" s="455">
        <f t="shared" si="8"/>
        <v>208.2594</v>
      </c>
      <c r="E42" s="455">
        <f t="shared" si="8"/>
        <v>1.5084</v>
      </c>
      <c r="F42" s="455">
        <f t="shared" si="8"/>
        <v>206.751</v>
      </c>
      <c r="G42" s="455">
        <f t="shared" si="8"/>
        <v>82.834999999999994</v>
      </c>
      <c r="H42" s="455">
        <f t="shared" si="8"/>
        <v>69.245999999999995</v>
      </c>
      <c r="I42" s="455">
        <f t="shared" si="2"/>
        <v>13.588999999999999</v>
      </c>
      <c r="J42" s="455">
        <f t="shared" si="5"/>
        <v>942.38400000000001</v>
      </c>
      <c r="K42" s="1214" t="s">
        <v>0</v>
      </c>
      <c r="M42" s="452"/>
      <c r="P42" s="437"/>
    </row>
    <row r="43" spans="1:16" s="7" customFormat="1" ht="17.25" customHeight="1">
      <c r="A43" s="1955" t="s">
        <v>276</v>
      </c>
      <c r="B43" s="91" t="s">
        <v>887</v>
      </c>
      <c r="C43" s="1742">
        <v>728.71799999999996</v>
      </c>
      <c r="D43" s="456">
        <v>235.24016599999993</v>
      </c>
      <c r="E43" s="456">
        <v>1.31</v>
      </c>
      <c r="F43" s="456">
        <f>D43-E43</f>
        <v>233.93016599999993</v>
      </c>
      <c r="G43" s="456">
        <f>H40</f>
        <v>62.036000000000001</v>
      </c>
      <c r="H43" s="456">
        <v>57.642000000000003</v>
      </c>
      <c r="I43" s="456">
        <f t="shared" si="2"/>
        <v>4.3939999999999984</v>
      </c>
      <c r="J43" s="455">
        <f t="shared" si="5"/>
        <v>967.04216599999995</v>
      </c>
      <c r="K43" s="1213" t="s">
        <v>886</v>
      </c>
      <c r="M43" s="452"/>
    </row>
    <row r="44" spans="1:16" s="7" customFormat="1" ht="17.25" customHeight="1">
      <c r="A44" s="1955"/>
      <c r="B44" s="91" t="s">
        <v>885</v>
      </c>
      <c r="C44" s="1742">
        <v>44.28</v>
      </c>
      <c r="D44" s="456">
        <v>0.02</v>
      </c>
      <c r="E44" s="456">
        <v>0.08</v>
      </c>
      <c r="F44" s="456">
        <f>D44-E44</f>
        <v>-0.06</v>
      </c>
      <c r="G44" s="456">
        <f>H41</f>
        <v>7.21</v>
      </c>
      <c r="H44" s="456">
        <v>5.6720000000000006</v>
      </c>
      <c r="I44" s="456">
        <f t="shared" si="2"/>
        <v>1.5379999999999994</v>
      </c>
      <c r="J44" s="455">
        <f t="shared" si="5"/>
        <v>45.757999999999996</v>
      </c>
      <c r="K44" s="1213" t="s">
        <v>884</v>
      </c>
      <c r="M44" s="452"/>
    </row>
    <row r="45" spans="1:16" s="33" customFormat="1" ht="17.25" customHeight="1">
      <c r="A45" s="1955"/>
      <c r="B45" s="1130" t="s">
        <v>143</v>
      </c>
      <c r="C45" s="1741">
        <f t="shared" ref="C45:H45" si="9">SUM(C43:C44)</f>
        <v>772.99799999999993</v>
      </c>
      <c r="D45" s="455">
        <f t="shared" si="9"/>
        <v>235.26016599999994</v>
      </c>
      <c r="E45" s="455">
        <f t="shared" si="9"/>
        <v>1.3900000000000001</v>
      </c>
      <c r="F45" s="455">
        <f t="shared" si="9"/>
        <v>233.87016599999993</v>
      </c>
      <c r="G45" s="455">
        <f t="shared" si="9"/>
        <v>69.245999999999995</v>
      </c>
      <c r="H45" s="455">
        <f t="shared" si="9"/>
        <v>63.314000000000007</v>
      </c>
      <c r="I45" s="455">
        <f t="shared" si="2"/>
        <v>5.9319999999999879</v>
      </c>
      <c r="J45" s="455">
        <f t="shared" si="5"/>
        <v>1012.8001659999999</v>
      </c>
      <c r="K45" s="1214" t="s">
        <v>0</v>
      </c>
      <c r="M45" s="452"/>
    </row>
    <row r="46" spans="1:16" s="33" customFormat="1" ht="17.25" customHeight="1">
      <c r="A46" s="1955" t="s">
        <v>522</v>
      </c>
      <c r="B46" s="91" t="s">
        <v>887</v>
      </c>
      <c r="C46" s="1742">
        <v>730.87</v>
      </c>
      <c r="D46" s="456">
        <v>248.54</v>
      </c>
      <c r="E46" s="456">
        <v>1.05</v>
      </c>
      <c r="F46" s="455">
        <f>D46-E46</f>
        <v>247.48999999999998</v>
      </c>
      <c r="G46" s="456">
        <v>57.642000000000003</v>
      </c>
      <c r="H46" s="455">
        <v>81.432000000000002</v>
      </c>
      <c r="I46" s="455">
        <v>-23.79</v>
      </c>
      <c r="J46" s="455">
        <f t="shared" si="5"/>
        <v>954.57</v>
      </c>
      <c r="K46" s="1213" t="s">
        <v>886</v>
      </c>
      <c r="M46" s="452"/>
    </row>
    <row r="47" spans="1:16" s="33" customFormat="1" ht="17.25" customHeight="1">
      <c r="A47" s="1955"/>
      <c r="B47" s="91" t="s">
        <v>885</v>
      </c>
      <c r="C47" s="1742">
        <v>42.1</v>
      </c>
      <c r="D47" s="456">
        <v>0.05</v>
      </c>
      <c r="E47" s="456">
        <v>0.93</v>
      </c>
      <c r="F47" s="455">
        <f>D47-E47</f>
        <v>-0.88</v>
      </c>
      <c r="G47" s="456">
        <v>5.6720000000000006</v>
      </c>
      <c r="H47" s="455">
        <f>G47+I47</f>
        <v>5.4920000000000009</v>
      </c>
      <c r="I47" s="455">
        <v>-0.18</v>
      </c>
      <c r="J47" s="455">
        <f t="shared" si="5"/>
        <v>41.04</v>
      </c>
      <c r="K47" s="1213" t="s">
        <v>884</v>
      </c>
      <c r="M47" s="452"/>
      <c r="N47" s="437"/>
    </row>
    <row r="48" spans="1:16" s="33" customFormat="1" ht="17.25" customHeight="1">
      <c r="A48" s="1955"/>
      <c r="B48" s="1130" t="s">
        <v>143</v>
      </c>
      <c r="C48" s="1741">
        <f>SUM(C46:C47)</f>
        <v>772.97</v>
      </c>
      <c r="D48" s="455">
        <f>SUM(D46:D47)</f>
        <v>248.59</v>
      </c>
      <c r="E48" s="455">
        <f>SUM(E46:E47)</f>
        <v>1.98</v>
      </c>
      <c r="F48" s="455">
        <f>SUM(F46:F47)</f>
        <v>246.60999999999999</v>
      </c>
      <c r="G48" s="455">
        <f>SUM(G46:G47)</f>
        <v>63.314000000000007</v>
      </c>
      <c r="H48" s="455">
        <v>86.927000000000007</v>
      </c>
      <c r="I48" s="455">
        <f>SUM(I46:I47)</f>
        <v>-23.97</v>
      </c>
      <c r="J48" s="455">
        <f t="shared" si="5"/>
        <v>995.61</v>
      </c>
      <c r="K48" s="1214" t="s">
        <v>0</v>
      </c>
      <c r="M48" s="452"/>
    </row>
    <row r="49" spans="1:13" s="33" customFormat="1" ht="17.25" customHeight="1">
      <c r="A49" s="1996" t="s">
        <v>652</v>
      </c>
      <c r="B49" s="91" t="s">
        <v>887</v>
      </c>
      <c r="C49" s="1485">
        <v>716.08399999999995</v>
      </c>
      <c r="D49" s="57">
        <v>214.995</v>
      </c>
      <c r="E49" s="57">
        <v>0.8</v>
      </c>
      <c r="F49" s="57">
        <v>214.19499999999999</v>
      </c>
      <c r="G49" s="57">
        <v>81.432000000000002</v>
      </c>
      <c r="H49" s="57">
        <v>109.185</v>
      </c>
      <c r="I49" s="57">
        <v>-27.753</v>
      </c>
      <c r="J49" s="57">
        <v>902.52599999999995</v>
      </c>
      <c r="K49" s="1213" t="s">
        <v>886</v>
      </c>
      <c r="M49" s="452"/>
    </row>
    <row r="50" spans="1:13" s="33" customFormat="1" ht="17.25" customHeight="1">
      <c r="A50" s="1997"/>
      <c r="B50" s="91" t="s">
        <v>885</v>
      </c>
      <c r="C50" s="1485">
        <v>36.613999999999997</v>
      </c>
      <c r="D50" s="57">
        <v>1.9E-2</v>
      </c>
      <c r="E50" s="57">
        <v>0.15</v>
      </c>
      <c r="F50" s="57">
        <v>-0.13100000000000001</v>
      </c>
      <c r="G50" s="57">
        <v>5.4950000000000001</v>
      </c>
      <c r="H50" s="57">
        <v>4.891</v>
      </c>
      <c r="I50" s="57">
        <v>0.60399999999999998</v>
      </c>
      <c r="J50" s="57">
        <v>37.087000000000003</v>
      </c>
      <c r="K50" s="1213" t="s">
        <v>884</v>
      </c>
      <c r="M50" s="452"/>
    </row>
    <row r="51" spans="1:13" s="33" customFormat="1" ht="17.25" customHeight="1">
      <c r="A51" s="1954"/>
      <c r="B51" s="1130" t="s">
        <v>143</v>
      </c>
      <c r="C51" s="1485">
        <f t="shared" ref="C51:J51" si="10">C49+C50</f>
        <v>752.69799999999998</v>
      </c>
      <c r="D51" s="57">
        <f t="shared" si="10"/>
        <v>215.01400000000001</v>
      </c>
      <c r="E51" s="57">
        <f t="shared" si="10"/>
        <v>0.95000000000000007</v>
      </c>
      <c r="F51" s="57">
        <f t="shared" si="10"/>
        <v>214.06399999999999</v>
      </c>
      <c r="G51" s="57">
        <f t="shared" si="10"/>
        <v>86.927000000000007</v>
      </c>
      <c r="H51" s="57">
        <f t="shared" si="10"/>
        <v>114.07600000000001</v>
      </c>
      <c r="I51" s="57">
        <f t="shared" si="10"/>
        <v>-27.149000000000001</v>
      </c>
      <c r="J51" s="57">
        <f t="shared" si="10"/>
        <v>939.61299999999994</v>
      </c>
      <c r="K51" s="1214" t="s">
        <v>0</v>
      </c>
      <c r="M51" s="452"/>
    </row>
    <row r="52" spans="1:13" s="33" customFormat="1" ht="17.25" customHeight="1">
      <c r="A52" s="1998" t="s">
        <v>803</v>
      </c>
      <c r="B52" s="91" t="s">
        <v>887</v>
      </c>
      <c r="C52" s="1485">
        <v>778.19</v>
      </c>
      <c r="D52" s="57">
        <v>208.934</v>
      </c>
      <c r="E52" s="57">
        <v>1.169</v>
      </c>
      <c r="F52" s="57">
        <f>D52-E52</f>
        <v>207.76499999999999</v>
      </c>
      <c r="G52" s="57">
        <v>109.06</v>
      </c>
      <c r="H52" s="57">
        <v>68.888999999999996</v>
      </c>
      <c r="I52" s="57">
        <f>(H52-G52)</f>
        <v>-40.171000000000006</v>
      </c>
      <c r="J52" s="57">
        <f>C52+F52+I52</f>
        <v>945.78399999999999</v>
      </c>
      <c r="K52" s="1213" t="s">
        <v>886</v>
      </c>
      <c r="M52" s="452"/>
    </row>
    <row r="53" spans="1:13" s="33" customFormat="1" ht="17.25" customHeight="1">
      <c r="A53" s="1999"/>
      <c r="B53" s="91" t="s">
        <v>885</v>
      </c>
      <c r="C53" s="1485">
        <v>47.49</v>
      </c>
      <c r="D53" s="57">
        <v>6.8000000000000005E-2</v>
      </c>
      <c r="E53" s="57">
        <v>1.7999999999999999E-2</v>
      </c>
      <c r="F53" s="57">
        <f>D53-E53</f>
        <v>0.05</v>
      </c>
      <c r="G53" s="57">
        <v>4.9809999999999999</v>
      </c>
      <c r="H53" s="57">
        <v>3.3889999999999998</v>
      </c>
      <c r="I53" s="57">
        <f>(H53-G53)</f>
        <v>-1.5920000000000001</v>
      </c>
      <c r="J53" s="57">
        <f>C53+F53+I53</f>
        <v>45.948</v>
      </c>
      <c r="K53" s="1213" t="s">
        <v>884</v>
      </c>
      <c r="M53" s="452"/>
    </row>
    <row r="54" spans="1:13" s="33" customFormat="1" ht="17.25" customHeight="1">
      <c r="A54" s="2000"/>
      <c r="B54" s="1130" t="s">
        <v>143</v>
      </c>
      <c r="C54" s="1485">
        <f t="shared" ref="C54:J54" si="11">C52+C53</f>
        <v>825.68000000000006</v>
      </c>
      <c r="D54" s="57">
        <f t="shared" si="11"/>
        <v>209.00200000000001</v>
      </c>
      <c r="E54" s="57">
        <f t="shared" si="11"/>
        <v>1.1870000000000001</v>
      </c>
      <c r="F54" s="57">
        <f t="shared" si="11"/>
        <v>207.815</v>
      </c>
      <c r="G54" s="57">
        <f t="shared" si="11"/>
        <v>114.041</v>
      </c>
      <c r="H54" s="57">
        <f t="shared" si="11"/>
        <v>72.277999999999992</v>
      </c>
      <c r="I54" s="57">
        <f t="shared" si="11"/>
        <v>-41.763000000000005</v>
      </c>
      <c r="J54" s="57">
        <f t="shared" si="11"/>
        <v>991.73199999999997</v>
      </c>
      <c r="K54" s="1214" t="s">
        <v>0</v>
      </c>
      <c r="M54" s="452"/>
    </row>
    <row r="55" spans="1:13" s="33" customFormat="1" ht="36.75" customHeight="1">
      <c r="A55" s="2001" t="s">
        <v>883</v>
      </c>
      <c r="B55" s="2002"/>
      <c r="C55" s="2002"/>
      <c r="D55" s="2002"/>
      <c r="E55" s="2002"/>
      <c r="F55" s="2002"/>
      <c r="G55" s="2002"/>
      <c r="H55" s="2002"/>
      <c r="I55" s="2002"/>
      <c r="J55" s="2002"/>
      <c r="K55" s="2003"/>
      <c r="M55" s="452"/>
    </row>
    <row r="56" spans="1:13" s="7" customFormat="1" ht="30.75" customHeight="1" thickBot="1">
      <c r="A56" s="1993" t="s">
        <v>882</v>
      </c>
      <c r="B56" s="1994"/>
      <c r="C56" s="1994"/>
      <c r="D56" s="1994"/>
      <c r="E56" s="1994"/>
      <c r="F56" s="1994"/>
      <c r="G56" s="1994"/>
      <c r="H56" s="1994"/>
      <c r="I56" s="1994"/>
      <c r="J56" s="1994"/>
      <c r="K56" s="1995"/>
    </row>
    <row r="57" spans="1:13" ht="15.75" thickTop="1">
      <c r="B57" s="288"/>
      <c r="K57" s="273"/>
    </row>
  </sheetData>
  <mergeCells count="17">
    <mergeCell ref="A1:K1"/>
    <mergeCell ref="G2:K2"/>
    <mergeCell ref="A16:A18"/>
    <mergeCell ref="A19:A21"/>
    <mergeCell ref="A22:A24"/>
    <mergeCell ref="A56:K56"/>
    <mergeCell ref="A43:A45"/>
    <mergeCell ref="A25:A27"/>
    <mergeCell ref="A46:A48"/>
    <mergeCell ref="A49:A51"/>
    <mergeCell ref="A52:A54"/>
    <mergeCell ref="A55:K55"/>
    <mergeCell ref="A28:A30"/>
    <mergeCell ref="A31:A33"/>
    <mergeCell ref="A34:A36"/>
    <mergeCell ref="A37:A39"/>
    <mergeCell ref="A40:A42"/>
  </mergeCells>
  <conditionalFormatting sqref="J16:XFD21 A16:H21 I18:I21 L22:XFD54">
    <cfRule type="expression" dxfId="101" priority="2">
      <formula>MOD(ROW(),3)=1</formula>
    </cfRule>
  </conditionalFormatting>
  <conditionalFormatting sqref="A22:K54">
    <cfRule type="expression" dxfId="100" priority="1">
      <formula>MOD(ROW(),3)=1</formula>
    </cfRule>
  </conditionalFormatting>
  <printOptions horizontalCentered="1"/>
  <pageMargins left="0.23622047244094491" right="0.23622047244094491" top="0.74803149606299213" bottom="0.74803149606299213" header="0.31496062992125984" footer="0.31496062992125984"/>
  <pageSetup paperSize="9" firstPageNumber="90" fitToHeight="0" pageOrder="overThenDown" orientation="landscape" r:id="rId1"/>
  <rowBreaks count="1" manualBreakCount="1">
    <brk id="39" max="10"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0301C4-C6CD-4C9D-BF1C-FDBECA25898B}">
  <sheetPr>
    <pageSetUpPr fitToPage="1"/>
  </sheetPr>
  <dimension ref="A1:P99"/>
  <sheetViews>
    <sheetView view="pageBreakPreview" topLeftCell="C1" zoomScaleSheetLayoutView="100" workbookViewId="0">
      <selection activeCell="S17" sqref="S17"/>
    </sheetView>
  </sheetViews>
  <sheetFormatPr defaultRowHeight="12.75"/>
  <cols>
    <col min="1" max="1" width="20.7109375" style="470" customWidth="1"/>
    <col min="2" max="2" width="10" style="469" hidden="1" customWidth="1"/>
    <col min="3" max="14" width="10" style="469" customWidth="1"/>
    <col min="15" max="15" width="16.7109375" style="470" customWidth="1"/>
    <col min="16" max="257" width="9.140625" style="469"/>
    <col min="258" max="258" width="15" style="469" customWidth="1"/>
    <col min="259" max="267" width="9.42578125" style="469" customWidth="1"/>
    <col min="268" max="268" width="13.28515625" style="469" customWidth="1"/>
    <col min="269" max="269" width="17" style="469" customWidth="1"/>
    <col min="270" max="513" width="9.140625" style="469"/>
    <col min="514" max="514" width="15" style="469" customWidth="1"/>
    <col min="515" max="523" width="9.42578125" style="469" customWidth="1"/>
    <col min="524" max="524" width="13.28515625" style="469" customWidth="1"/>
    <col min="525" max="525" width="17" style="469" customWidth="1"/>
    <col min="526" max="769" width="9.140625" style="469"/>
    <col min="770" max="770" width="15" style="469" customWidth="1"/>
    <col min="771" max="779" width="9.42578125" style="469" customWidth="1"/>
    <col min="780" max="780" width="13.28515625" style="469" customWidth="1"/>
    <col min="781" max="781" width="17" style="469" customWidth="1"/>
    <col min="782" max="1025" width="9.140625" style="469"/>
    <col min="1026" max="1026" width="15" style="469" customWidth="1"/>
    <col min="1027" max="1035" width="9.42578125" style="469" customWidth="1"/>
    <col min="1036" max="1036" width="13.28515625" style="469" customWidth="1"/>
    <col min="1037" max="1037" width="17" style="469" customWidth="1"/>
    <col min="1038" max="1281" width="9.140625" style="469"/>
    <col min="1282" max="1282" width="15" style="469" customWidth="1"/>
    <col min="1283" max="1291" width="9.42578125" style="469" customWidth="1"/>
    <col min="1292" max="1292" width="13.28515625" style="469" customWidth="1"/>
    <col min="1293" max="1293" width="17" style="469" customWidth="1"/>
    <col min="1294" max="1537" width="9.140625" style="469"/>
    <col min="1538" max="1538" width="15" style="469" customWidth="1"/>
    <col min="1539" max="1547" width="9.42578125" style="469" customWidth="1"/>
    <col min="1548" max="1548" width="13.28515625" style="469" customWidth="1"/>
    <col min="1549" max="1549" width="17" style="469" customWidth="1"/>
    <col min="1550" max="1793" width="9.140625" style="469"/>
    <col min="1794" max="1794" width="15" style="469" customWidth="1"/>
    <col min="1795" max="1803" width="9.42578125" style="469" customWidth="1"/>
    <col min="1804" max="1804" width="13.28515625" style="469" customWidth="1"/>
    <col min="1805" max="1805" width="17" style="469" customWidth="1"/>
    <col min="1806" max="2049" width="9.140625" style="469"/>
    <col min="2050" max="2050" width="15" style="469" customWidth="1"/>
    <col min="2051" max="2059" width="9.42578125" style="469" customWidth="1"/>
    <col min="2060" max="2060" width="13.28515625" style="469" customWidth="1"/>
    <col min="2061" max="2061" width="17" style="469" customWidth="1"/>
    <col min="2062" max="2305" width="9.140625" style="469"/>
    <col min="2306" max="2306" width="15" style="469" customWidth="1"/>
    <col min="2307" max="2315" width="9.42578125" style="469" customWidth="1"/>
    <col min="2316" max="2316" width="13.28515625" style="469" customWidth="1"/>
    <col min="2317" max="2317" width="17" style="469" customWidth="1"/>
    <col min="2318" max="2561" width="9.140625" style="469"/>
    <col min="2562" max="2562" width="15" style="469" customWidth="1"/>
    <col min="2563" max="2571" width="9.42578125" style="469" customWidth="1"/>
    <col min="2572" max="2572" width="13.28515625" style="469" customWidth="1"/>
    <col min="2573" max="2573" width="17" style="469" customWidth="1"/>
    <col min="2574" max="2817" width="9.140625" style="469"/>
    <col min="2818" max="2818" width="15" style="469" customWidth="1"/>
    <col min="2819" max="2827" width="9.42578125" style="469" customWidth="1"/>
    <col min="2828" max="2828" width="13.28515625" style="469" customWidth="1"/>
    <col min="2829" max="2829" width="17" style="469" customWidth="1"/>
    <col min="2830" max="3073" width="9.140625" style="469"/>
    <col min="3074" max="3074" width="15" style="469" customWidth="1"/>
    <col min="3075" max="3083" width="9.42578125" style="469" customWidth="1"/>
    <col min="3084" max="3084" width="13.28515625" style="469" customWidth="1"/>
    <col min="3085" max="3085" width="17" style="469" customWidth="1"/>
    <col min="3086" max="3329" width="9.140625" style="469"/>
    <col min="3330" max="3330" width="15" style="469" customWidth="1"/>
    <col min="3331" max="3339" width="9.42578125" style="469" customWidth="1"/>
    <col min="3340" max="3340" width="13.28515625" style="469" customWidth="1"/>
    <col min="3341" max="3341" width="17" style="469" customWidth="1"/>
    <col min="3342" max="3585" width="9.140625" style="469"/>
    <col min="3586" max="3586" width="15" style="469" customWidth="1"/>
    <col min="3587" max="3595" width="9.42578125" style="469" customWidth="1"/>
    <col min="3596" max="3596" width="13.28515625" style="469" customWidth="1"/>
    <col min="3597" max="3597" width="17" style="469" customWidth="1"/>
    <col min="3598" max="3841" width="9.140625" style="469"/>
    <col min="3842" max="3842" width="15" style="469" customWidth="1"/>
    <col min="3843" max="3851" width="9.42578125" style="469" customWidth="1"/>
    <col min="3852" max="3852" width="13.28515625" style="469" customWidth="1"/>
    <col min="3853" max="3853" width="17" style="469" customWidth="1"/>
    <col min="3854" max="4097" width="9.140625" style="469"/>
    <col min="4098" max="4098" width="15" style="469" customWidth="1"/>
    <col min="4099" max="4107" width="9.42578125" style="469" customWidth="1"/>
    <col min="4108" max="4108" width="13.28515625" style="469" customWidth="1"/>
    <col min="4109" max="4109" width="17" style="469" customWidth="1"/>
    <col min="4110" max="4353" width="9.140625" style="469"/>
    <col min="4354" max="4354" width="15" style="469" customWidth="1"/>
    <col min="4355" max="4363" width="9.42578125" style="469" customWidth="1"/>
    <col min="4364" max="4364" width="13.28515625" style="469" customWidth="1"/>
    <col min="4365" max="4365" width="17" style="469" customWidth="1"/>
    <col min="4366" max="4609" width="9.140625" style="469"/>
    <col min="4610" max="4610" width="15" style="469" customWidth="1"/>
    <col min="4611" max="4619" width="9.42578125" style="469" customWidth="1"/>
    <col min="4620" max="4620" width="13.28515625" style="469" customWidth="1"/>
    <col min="4621" max="4621" width="17" style="469" customWidth="1"/>
    <col min="4622" max="4865" width="9.140625" style="469"/>
    <col min="4866" max="4866" width="15" style="469" customWidth="1"/>
    <col min="4867" max="4875" width="9.42578125" style="469" customWidth="1"/>
    <col min="4876" max="4876" width="13.28515625" style="469" customWidth="1"/>
    <col min="4877" max="4877" width="17" style="469" customWidth="1"/>
    <col min="4878" max="5121" width="9.140625" style="469"/>
    <col min="5122" max="5122" width="15" style="469" customWidth="1"/>
    <col min="5123" max="5131" width="9.42578125" style="469" customWidth="1"/>
    <col min="5132" max="5132" width="13.28515625" style="469" customWidth="1"/>
    <col min="5133" max="5133" width="17" style="469" customWidth="1"/>
    <col min="5134" max="5377" width="9.140625" style="469"/>
    <col min="5378" max="5378" width="15" style="469" customWidth="1"/>
    <col min="5379" max="5387" width="9.42578125" style="469" customWidth="1"/>
    <col min="5388" max="5388" width="13.28515625" style="469" customWidth="1"/>
    <col min="5389" max="5389" width="17" style="469" customWidth="1"/>
    <col min="5390" max="5633" width="9.140625" style="469"/>
    <col min="5634" max="5634" width="15" style="469" customWidth="1"/>
    <col min="5635" max="5643" width="9.42578125" style="469" customWidth="1"/>
    <col min="5644" max="5644" width="13.28515625" style="469" customWidth="1"/>
    <col min="5645" max="5645" width="17" style="469" customWidth="1"/>
    <col min="5646" max="5889" width="9.140625" style="469"/>
    <col min="5890" max="5890" width="15" style="469" customWidth="1"/>
    <col min="5891" max="5899" width="9.42578125" style="469" customWidth="1"/>
    <col min="5900" max="5900" width="13.28515625" style="469" customWidth="1"/>
    <col min="5901" max="5901" width="17" style="469" customWidth="1"/>
    <col min="5902" max="6145" width="9.140625" style="469"/>
    <col min="6146" max="6146" width="15" style="469" customWidth="1"/>
    <col min="6147" max="6155" width="9.42578125" style="469" customWidth="1"/>
    <col min="6156" max="6156" width="13.28515625" style="469" customWidth="1"/>
    <col min="6157" max="6157" width="17" style="469" customWidth="1"/>
    <col min="6158" max="6401" width="9.140625" style="469"/>
    <col min="6402" max="6402" width="15" style="469" customWidth="1"/>
    <col min="6403" max="6411" width="9.42578125" style="469" customWidth="1"/>
    <col min="6412" max="6412" width="13.28515625" style="469" customWidth="1"/>
    <col min="6413" max="6413" width="17" style="469" customWidth="1"/>
    <col min="6414" max="6657" width="9.140625" style="469"/>
    <col min="6658" max="6658" width="15" style="469" customWidth="1"/>
    <col min="6659" max="6667" width="9.42578125" style="469" customWidth="1"/>
    <col min="6668" max="6668" width="13.28515625" style="469" customWidth="1"/>
    <col min="6669" max="6669" width="17" style="469" customWidth="1"/>
    <col min="6670" max="6913" width="9.140625" style="469"/>
    <col min="6914" max="6914" width="15" style="469" customWidth="1"/>
    <col min="6915" max="6923" width="9.42578125" style="469" customWidth="1"/>
    <col min="6924" max="6924" width="13.28515625" style="469" customWidth="1"/>
    <col min="6925" max="6925" width="17" style="469" customWidth="1"/>
    <col min="6926" max="7169" width="9.140625" style="469"/>
    <col min="7170" max="7170" width="15" style="469" customWidth="1"/>
    <col min="7171" max="7179" width="9.42578125" style="469" customWidth="1"/>
    <col min="7180" max="7180" width="13.28515625" style="469" customWidth="1"/>
    <col min="7181" max="7181" width="17" style="469" customWidth="1"/>
    <col min="7182" max="7425" width="9.140625" style="469"/>
    <col min="7426" max="7426" width="15" style="469" customWidth="1"/>
    <col min="7427" max="7435" width="9.42578125" style="469" customWidth="1"/>
    <col min="7436" max="7436" width="13.28515625" style="469" customWidth="1"/>
    <col min="7437" max="7437" width="17" style="469" customWidth="1"/>
    <col min="7438" max="7681" width="9.140625" style="469"/>
    <col min="7682" max="7682" width="15" style="469" customWidth="1"/>
    <col min="7683" max="7691" width="9.42578125" style="469" customWidth="1"/>
    <col min="7692" max="7692" width="13.28515625" style="469" customWidth="1"/>
    <col min="7693" max="7693" width="17" style="469" customWidth="1"/>
    <col min="7694" max="7937" width="9.140625" style="469"/>
    <col min="7938" max="7938" width="15" style="469" customWidth="1"/>
    <col min="7939" max="7947" width="9.42578125" style="469" customWidth="1"/>
    <col min="7948" max="7948" width="13.28515625" style="469" customWidth="1"/>
    <col min="7949" max="7949" width="17" style="469" customWidth="1"/>
    <col min="7950" max="8193" width="9.140625" style="469"/>
    <col min="8194" max="8194" width="15" style="469" customWidth="1"/>
    <col min="8195" max="8203" width="9.42578125" style="469" customWidth="1"/>
    <col min="8204" max="8204" width="13.28515625" style="469" customWidth="1"/>
    <col min="8205" max="8205" width="17" style="469" customWidth="1"/>
    <col min="8206" max="8449" width="9.140625" style="469"/>
    <col min="8450" max="8450" width="15" style="469" customWidth="1"/>
    <col min="8451" max="8459" width="9.42578125" style="469" customWidth="1"/>
    <col min="8460" max="8460" width="13.28515625" style="469" customWidth="1"/>
    <col min="8461" max="8461" width="17" style="469" customWidth="1"/>
    <col min="8462" max="8705" width="9.140625" style="469"/>
    <col min="8706" max="8706" width="15" style="469" customWidth="1"/>
    <col min="8707" max="8715" width="9.42578125" style="469" customWidth="1"/>
    <col min="8716" max="8716" width="13.28515625" style="469" customWidth="1"/>
    <col min="8717" max="8717" width="17" style="469" customWidth="1"/>
    <col min="8718" max="8961" width="9.140625" style="469"/>
    <col min="8962" max="8962" width="15" style="469" customWidth="1"/>
    <col min="8963" max="8971" width="9.42578125" style="469" customWidth="1"/>
    <col min="8972" max="8972" width="13.28515625" style="469" customWidth="1"/>
    <col min="8973" max="8973" width="17" style="469" customWidth="1"/>
    <col min="8974" max="9217" width="9.140625" style="469"/>
    <col min="9218" max="9218" width="15" style="469" customWidth="1"/>
    <col min="9219" max="9227" width="9.42578125" style="469" customWidth="1"/>
    <col min="9228" max="9228" width="13.28515625" style="469" customWidth="1"/>
    <col min="9229" max="9229" width="17" style="469" customWidth="1"/>
    <col min="9230" max="9473" width="9.140625" style="469"/>
    <col min="9474" max="9474" width="15" style="469" customWidth="1"/>
    <col min="9475" max="9483" width="9.42578125" style="469" customWidth="1"/>
    <col min="9484" max="9484" width="13.28515625" style="469" customWidth="1"/>
    <col min="9485" max="9485" width="17" style="469" customWidth="1"/>
    <col min="9486" max="9729" width="9.140625" style="469"/>
    <col min="9730" max="9730" width="15" style="469" customWidth="1"/>
    <col min="9731" max="9739" width="9.42578125" style="469" customWidth="1"/>
    <col min="9740" max="9740" width="13.28515625" style="469" customWidth="1"/>
    <col min="9741" max="9741" width="17" style="469" customWidth="1"/>
    <col min="9742" max="9985" width="9.140625" style="469"/>
    <col min="9986" max="9986" width="15" style="469" customWidth="1"/>
    <col min="9987" max="9995" width="9.42578125" style="469" customWidth="1"/>
    <col min="9996" max="9996" width="13.28515625" style="469" customWidth="1"/>
    <col min="9997" max="9997" width="17" style="469" customWidth="1"/>
    <col min="9998" max="10241" width="9.140625" style="469"/>
    <col min="10242" max="10242" width="15" style="469" customWidth="1"/>
    <col min="10243" max="10251" width="9.42578125" style="469" customWidth="1"/>
    <col min="10252" max="10252" width="13.28515625" style="469" customWidth="1"/>
    <col min="10253" max="10253" width="17" style="469" customWidth="1"/>
    <col min="10254" max="10497" width="9.140625" style="469"/>
    <col min="10498" max="10498" width="15" style="469" customWidth="1"/>
    <col min="10499" max="10507" width="9.42578125" style="469" customWidth="1"/>
    <col min="10508" max="10508" width="13.28515625" style="469" customWidth="1"/>
    <col min="10509" max="10509" width="17" style="469" customWidth="1"/>
    <col min="10510" max="10753" width="9.140625" style="469"/>
    <col min="10754" max="10754" width="15" style="469" customWidth="1"/>
    <col min="10755" max="10763" width="9.42578125" style="469" customWidth="1"/>
    <col min="10764" max="10764" width="13.28515625" style="469" customWidth="1"/>
    <col min="10765" max="10765" width="17" style="469" customWidth="1"/>
    <col min="10766" max="11009" width="9.140625" style="469"/>
    <col min="11010" max="11010" width="15" style="469" customWidth="1"/>
    <col min="11011" max="11019" width="9.42578125" style="469" customWidth="1"/>
    <col min="11020" max="11020" width="13.28515625" style="469" customWidth="1"/>
    <col min="11021" max="11021" width="17" style="469" customWidth="1"/>
    <col min="11022" max="11265" width="9.140625" style="469"/>
    <col min="11266" max="11266" width="15" style="469" customWidth="1"/>
    <col min="11267" max="11275" width="9.42578125" style="469" customWidth="1"/>
    <col min="11276" max="11276" width="13.28515625" style="469" customWidth="1"/>
    <col min="11277" max="11277" width="17" style="469" customWidth="1"/>
    <col min="11278" max="11521" width="9.140625" style="469"/>
    <col min="11522" max="11522" width="15" style="469" customWidth="1"/>
    <col min="11523" max="11531" width="9.42578125" style="469" customWidth="1"/>
    <col min="11532" max="11532" width="13.28515625" style="469" customWidth="1"/>
    <col min="11533" max="11533" width="17" style="469" customWidth="1"/>
    <col min="11534" max="11777" width="9.140625" style="469"/>
    <col min="11778" max="11778" width="15" style="469" customWidth="1"/>
    <col min="11779" max="11787" width="9.42578125" style="469" customWidth="1"/>
    <col min="11788" max="11788" width="13.28515625" style="469" customWidth="1"/>
    <col min="11789" max="11789" width="17" style="469" customWidth="1"/>
    <col min="11790" max="12033" width="9.140625" style="469"/>
    <col min="12034" max="12034" width="15" style="469" customWidth="1"/>
    <col min="12035" max="12043" width="9.42578125" style="469" customWidth="1"/>
    <col min="12044" max="12044" width="13.28515625" style="469" customWidth="1"/>
    <col min="12045" max="12045" width="17" style="469" customWidth="1"/>
    <col min="12046" max="12289" width="9.140625" style="469"/>
    <col min="12290" max="12290" width="15" style="469" customWidth="1"/>
    <col min="12291" max="12299" width="9.42578125" style="469" customWidth="1"/>
    <col min="12300" max="12300" width="13.28515625" style="469" customWidth="1"/>
    <col min="12301" max="12301" width="17" style="469" customWidth="1"/>
    <col min="12302" max="12545" width="9.140625" style="469"/>
    <col min="12546" max="12546" width="15" style="469" customWidth="1"/>
    <col min="12547" max="12555" width="9.42578125" style="469" customWidth="1"/>
    <col min="12556" max="12556" width="13.28515625" style="469" customWidth="1"/>
    <col min="12557" max="12557" width="17" style="469" customWidth="1"/>
    <col min="12558" max="12801" width="9.140625" style="469"/>
    <col min="12802" max="12802" width="15" style="469" customWidth="1"/>
    <col min="12803" max="12811" width="9.42578125" style="469" customWidth="1"/>
    <col min="12812" max="12812" width="13.28515625" style="469" customWidth="1"/>
    <col min="12813" max="12813" width="17" style="469" customWidth="1"/>
    <col min="12814" max="13057" width="9.140625" style="469"/>
    <col min="13058" max="13058" width="15" style="469" customWidth="1"/>
    <col min="13059" max="13067" width="9.42578125" style="469" customWidth="1"/>
    <col min="13068" max="13068" width="13.28515625" style="469" customWidth="1"/>
    <col min="13069" max="13069" width="17" style="469" customWidth="1"/>
    <col min="13070" max="13313" width="9.140625" style="469"/>
    <col min="13314" max="13314" width="15" style="469" customWidth="1"/>
    <col min="13315" max="13323" width="9.42578125" style="469" customWidth="1"/>
    <col min="13324" max="13324" width="13.28515625" style="469" customWidth="1"/>
    <col min="13325" max="13325" width="17" style="469" customWidth="1"/>
    <col min="13326" max="13569" width="9.140625" style="469"/>
    <col min="13570" max="13570" width="15" style="469" customWidth="1"/>
    <col min="13571" max="13579" width="9.42578125" style="469" customWidth="1"/>
    <col min="13580" max="13580" width="13.28515625" style="469" customWidth="1"/>
    <col min="13581" max="13581" width="17" style="469" customWidth="1"/>
    <col min="13582" max="13825" width="9.140625" style="469"/>
    <col min="13826" max="13826" width="15" style="469" customWidth="1"/>
    <col min="13827" max="13835" width="9.42578125" style="469" customWidth="1"/>
    <col min="13836" max="13836" width="13.28515625" style="469" customWidth="1"/>
    <col min="13837" max="13837" width="17" style="469" customWidth="1"/>
    <col min="13838" max="14081" width="9.140625" style="469"/>
    <col min="14082" max="14082" width="15" style="469" customWidth="1"/>
    <col min="14083" max="14091" width="9.42578125" style="469" customWidth="1"/>
    <col min="14092" max="14092" width="13.28515625" style="469" customWidth="1"/>
    <col min="14093" max="14093" width="17" style="469" customWidth="1"/>
    <col min="14094" max="14337" width="9.140625" style="469"/>
    <col min="14338" max="14338" width="15" style="469" customWidth="1"/>
    <col min="14339" max="14347" width="9.42578125" style="469" customWidth="1"/>
    <col min="14348" max="14348" width="13.28515625" style="469" customWidth="1"/>
    <col min="14349" max="14349" width="17" style="469" customWidth="1"/>
    <col min="14350" max="14593" width="9.140625" style="469"/>
    <col min="14594" max="14594" width="15" style="469" customWidth="1"/>
    <col min="14595" max="14603" width="9.42578125" style="469" customWidth="1"/>
    <col min="14604" max="14604" width="13.28515625" style="469" customWidth="1"/>
    <col min="14605" max="14605" width="17" style="469" customWidth="1"/>
    <col min="14606" max="14849" width="9.140625" style="469"/>
    <col min="14850" max="14850" width="15" style="469" customWidth="1"/>
    <col min="14851" max="14859" width="9.42578125" style="469" customWidth="1"/>
    <col min="14860" max="14860" width="13.28515625" style="469" customWidth="1"/>
    <col min="14861" max="14861" width="17" style="469" customWidth="1"/>
    <col min="14862" max="15105" width="9.140625" style="469"/>
    <col min="15106" max="15106" width="15" style="469" customWidth="1"/>
    <col min="15107" max="15115" width="9.42578125" style="469" customWidth="1"/>
    <col min="15116" max="15116" width="13.28515625" style="469" customWidth="1"/>
    <col min="15117" max="15117" width="17" style="469" customWidth="1"/>
    <col min="15118" max="15361" width="9.140625" style="469"/>
    <col min="15362" max="15362" width="15" style="469" customWidth="1"/>
    <col min="15363" max="15371" width="9.42578125" style="469" customWidth="1"/>
    <col min="15372" max="15372" width="13.28515625" style="469" customWidth="1"/>
    <col min="15373" max="15373" width="17" style="469" customWidth="1"/>
    <col min="15374" max="15617" width="9.140625" style="469"/>
    <col min="15618" max="15618" width="15" style="469" customWidth="1"/>
    <col min="15619" max="15627" width="9.42578125" style="469" customWidth="1"/>
    <col min="15628" max="15628" width="13.28515625" style="469" customWidth="1"/>
    <col min="15629" max="15629" width="17" style="469" customWidth="1"/>
    <col min="15630" max="15873" width="9.140625" style="469"/>
    <col min="15874" max="15874" width="15" style="469" customWidth="1"/>
    <col min="15875" max="15883" width="9.42578125" style="469" customWidth="1"/>
    <col min="15884" max="15884" width="13.28515625" style="469" customWidth="1"/>
    <col min="15885" max="15885" width="17" style="469" customWidth="1"/>
    <col min="15886" max="16129" width="9.140625" style="469"/>
    <col min="16130" max="16130" width="15" style="469" customWidth="1"/>
    <col min="16131" max="16139" width="9.42578125" style="469" customWidth="1"/>
    <col min="16140" max="16140" width="13.28515625" style="469" customWidth="1"/>
    <col min="16141" max="16141" width="17" style="469" customWidth="1"/>
    <col min="16142" max="16384" width="9.140625" style="469"/>
  </cols>
  <sheetData>
    <row r="1" spans="1:16" ht="38.25" customHeight="1" thickTop="1">
      <c r="A1" s="1966" t="s">
        <v>2588</v>
      </c>
      <c r="B1" s="2006"/>
      <c r="C1" s="2006"/>
      <c r="D1" s="2006"/>
      <c r="E1" s="2006"/>
      <c r="F1" s="2006"/>
      <c r="G1" s="2006"/>
      <c r="H1" s="2006"/>
      <c r="I1" s="2006"/>
      <c r="J1" s="2006"/>
      <c r="K1" s="2006"/>
      <c r="L1" s="2006"/>
      <c r="M1" s="2006"/>
      <c r="N1" s="2006"/>
      <c r="O1" s="2007"/>
    </row>
    <row r="2" spans="1:16" ht="25.5" customHeight="1">
      <c r="A2" s="2008" t="s">
        <v>919</v>
      </c>
      <c r="B2" s="2009"/>
      <c r="C2" s="2009"/>
      <c r="D2" s="2009"/>
      <c r="E2" s="2009"/>
      <c r="F2" s="2009"/>
      <c r="G2" s="2009"/>
      <c r="H2" s="2009"/>
      <c r="I2" s="2009"/>
      <c r="J2" s="2009"/>
      <c r="K2" s="2009"/>
      <c r="L2" s="2009"/>
      <c r="M2" s="2009"/>
      <c r="N2" s="2009"/>
      <c r="O2" s="2010"/>
    </row>
    <row r="3" spans="1:16" s="487" customFormat="1" ht="24.75" customHeight="1">
      <c r="A3" s="490" t="s">
        <v>141</v>
      </c>
      <c r="B3" s="97" t="s">
        <v>497</v>
      </c>
      <c r="C3" s="97" t="s">
        <v>1</v>
      </c>
      <c r="D3" s="489" t="s">
        <v>2</v>
      </c>
      <c r="E3" s="489" t="s">
        <v>3</v>
      </c>
      <c r="F3" s="489" t="s">
        <v>13</v>
      </c>
      <c r="G3" s="489" t="s">
        <v>41</v>
      </c>
      <c r="H3" s="489" t="s">
        <v>42</v>
      </c>
      <c r="I3" s="489" t="s">
        <v>129</v>
      </c>
      <c r="J3" s="489" t="s">
        <v>142</v>
      </c>
      <c r="K3" s="489" t="s">
        <v>276</v>
      </c>
      <c r="L3" s="489" t="s">
        <v>522</v>
      </c>
      <c r="M3" s="489" t="s">
        <v>652</v>
      </c>
      <c r="N3" s="1561" t="s">
        <v>803</v>
      </c>
      <c r="O3" s="488" t="s">
        <v>49</v>
      </c>
    </row>
    <row r="4" spans="1:16" ht="19.5" customHeight="1">
      <c r="A4" s="2011" t="s">
        <v>918</v>
      </c>
      <c r="B4" s="2012"/>
      <c r="C4" s="2012"/>
      <c r="D4" s="2012"/>
      <c r="E4" s="2012"/>
      <c r="F4" s="2012"/>
      <c r="G4" s="2012"/>
      <c r="H4" s="2012"/>
      <c r="I4" s="2012"/>
      <c r="J4" s="1559"/>
      <c r="K4" s="1559"/>
      <c r="L4" s="1559"/>
      <c r="M4" s="1559"/>
      <c r="N4" s="1559"/>
      <c r="O4" s="485" t="s">
        <v>917</v>
      </c>
    </row>
    <row r="5" spans="1:16" ht="19.5" customHeight="1">
      <c r="A5" s="1750" t="s">
        <v>911</v>
      </c>
      <c r="B5" s="482">
        <v>0.15</v>
      </c>
      <c r="C5" s="482">
        <v>0.16300000000000001</v>
      </c>
      <c r="D5" s="482">
        <v>0.189</v>
      </c>
      <c r="E5" s="482">
        <v>0.157</v>
      </c>
      <c r="F5" s="482">
        <v>0.125</v>
      </c>
      <c r="G5" s="482">
        <v>0.126</v>
      </c>
      <c r="H5" s="482">
        <v>0.13500000000000001</v>
      </c>
      <c r="I5" s="482">
        <v>0.11</v>
      </c>
      <c r="J5" s="482">
        <v>0.182</v>
      </c>
      <c r="K5" s="482">
        <v>0.247</v>
      </c>
      <c r="L5" s="482">
        <v>0.25</v>
      </c>
      <c r="M5" s="482">
        <v>0.219</v>
      </c>
      <c r="N5" s="486">
        <v>0.22500000000000001</v>
      </c>
      <c r="O5" s="1751" t="s">
        <v>23</v>
      </c>
    </row>
    <row r="6" spans="1:16" ht="19.5" customHeight="1">
      <c r="A6" s="1750" t="s">
        <v>861</v>
      </c>
      <c r="B6" s="482">
        <v>43.666000000000004</v>
      </c>
      <c r="C6" s="482">
        <v>48.930999999999997</v>
      </c>
      <c r="D6" s="482">
        <v>51.107999999999997</v>
      </c>
      <c r="E6" s="482">
        <v>51.064999999999998</v>
      </c>
      <c r="F6" s="482">
        <v>55.088000000000001</v>
      </c>
      <c r="G6" s="482">
        <v>56.43</v>
      </c>
      <c r="H6" s="482">
        <v>58.548000000000002</v>
      </c>
      <c r="I6" s="482">
        <v>59.603999999999999</v>
      </c>
      <c r="J6" s="482">
        <v>38.768000000000001</v>
      </c>
      <c r="K6" s="482">
        <v>39.640999999999998</v>
      </c>
      <c r="L6" s="482">
        <v>52.363999999999997</v>
      </c>
      <c r="M6" s="482">
        <v>44.387</v>
      </c>
      <c r="N6" s="481">
        <v>51.219000000000001</v>
      </c>
      <c r="O6" s="1752" t="s">
        <v>27</v>
      </c>
    </row>
    <row r="7" spans="1:16" ht="19.5" customHeight="1">
      <c r="A7" s="1750" t="s">
        <v>909</v>
      </c>
      <c r="B7" s="482">
        <v>0.54500000000000004</v>
      </c>
      <c r="C7" s="482">
        <v>0.40300000000000002</v>
      </c>
      <c r="D7" s="482">
        <v>0.31900000000000001</v>
      </c>
      <c r="E7" s="482">
        <v>0.33</v>
      </c>
      <c r="F7" s="482">
        <v>0.249</v>
      </c>
      <c r="G7" s="482">
        <v>0.31</v>
      </c>
      <c r="H7" s="482">
        <v>0.20899999999999999</v>
      </c>
      <c r="I7" s="482">
        <v>0.13100000000000001</v>
      </c>
      <c r="J7" s="482">
        <v>0.18</v>
      </c>
      <c r="K7" s="482">
        <v>0.188</v>
      </c>
      <c r="L7" s="482">
        <v>0.17799999999999999</v>
      </c>
      <c r="M7" s="482">
        <v>0.18099999999999999</v>
      </c>
      <c r="N7" s="481">
        <v>0.158</v>
      </c>
      <c r="O7" s="1752" t="s">
        <v>18</v>
      </c>
    </row>
    <row r="8" spans="1:16" ht="19.5" customHeight="1">
      <c r="A8" s="1750" t="s">
        <v>219</v>
      </c>
      <c r="B8" s="482">
        <v>5.2000000000000005E-2</v>
      </c>
      <c r="C8" s="482">
        <v>3.5999999999999997E-2</v>
      </c>
      <c r="D8" s="482">
        <v>4.3999999999999997E-2</v>
      </c>
      <c r="E8" s="482">
        <v>0.03</v>
      </c>
      <c r="F8" s="482">
        <v>1.3560000000000001</v>
      </c>
      <c r="G8" s="482">
        <v>0.57999999999999996</v>
      </c>
      <c r="H8" s="482">
        <v>1.9950000000000001</v>
      </c>
      <c r="I8" s="482">
        <v>1.8160000000000001</v>
      </c>
      <c r="J8" s="482">
        <v>1.018</v>
      </c>
      <c r="K8" s="482">
        <v>1.056</v>
      </c>
      <c r="L8" s="482">
        <v>0.14499999999999999</v>
      </c>
      <c r="M8" s="482">
        <v>0</v>
      </c>
      <c r="N8" s="481">
        <v>0.1</v>
      </c>
      <c r="O8" s="1752" t="s">
        <v>37</v>
      </c>
    </row>
    <row r="9" spans="1:16" ht="19.5" customHeight="1">
      <c r="A9" s="1753" t="s">
        <v>916</v>
      </c>
      <c r="B9" s="480">
        <f t="shared" ref="B9:N9" si="0">SUM(B5:B8)</f>
        <v>44.413000000000004</v>
      </c>
      <c r="C9" s="480">
        <f t="shared" si="0"/>
        <v>49.532999999999994</v>
      </c>
      <c r="D9" s="480">
        <f t="shared" si="0"/>
        <v>51.66</v>
      </c>
      <c r="E9" s="480">
        <f t="shared" si="0"/>
        <v>51.581999999999994</v>
      </c>
      <c r="F9" s="480">
        <f t="shared" si="0"/>
        <v>56.818000000000005</v>
      </c>
      <c r="G9" s="480">
        <f t="shared" si="0"/>
        <v>57.445999999999998</v>
      </c>
      <c r="H9" s="480">
        <f t="shared" si="0"/>
        <v>60.887</v>
      </c>
      <c r="I9" s="480">
        <f t="shared" si="0"/>
        <v>61.661000000000001</v>
      </c>
      <c r="J9" s="480">
        <f t="shared" si="0"/>
        <v>40.148000000000003</v>
      </c>
      <c r="K9" s="480">
        <f t="shared" si="0"/>
        <v>41.131999999999998</v>
      </c>
      <c r="L9" s="480">
        <f t="shared" si="0"/>
        <v>52.936999999999998</v>
      </c>
      <c r="M9" s="480">
        <f t="shared" si="0"/>
        <v>44.786999999999999</v>
      </c>
      <c r="N9" s="480">
        <f t="shared" si="0"/>
        <v>51.702000000000005</v>
      </c>
      <c r="O9" s="1754" t="s">
        <v>915</v>
      </c>
    </row>
    <row r="10" spans="1:16" ht="19.5" customHeight="1">
      <c r="A10" s="2013" t="s">
        <v>914</v>
      </c>
      <c r="B10" s="2014"/>
      <c r="C10" s="2014"/>
      <c r="D10" s="2014"/>
      <c r="E10" s="2014"/>
      <c r="F10" s="2014"/>
      <c r="G10" s="2014"/>
      <c r="H10" s="2014"/>
      <c r="I10" s="2014"/>
      <c r="J10" s="1560"/>
      <c r="K10" s="1560"/>
      <c r="L10" s="1560"/>
      <c r="M10" s="1560"/>
      <c r="N10" s="1559"/>
      <c r="O10" s="485" t="s">
        <v>913</v>
      </c>
    </row>
    <row r="11" spans="1:16" ht="19.5" customHeight="1">
      <c r="A11" s="1750" t="s">
        <v>680</v>
      </c>
      <c r="B11" s="484" t="s">
        <v>47</v>
      </c>
      <c r="C11" s="482">
        <v>51.332999999999998</v>
      </c>
      <c r="D11" s="482">
        <v>52.210999999999999</v>
      </c>
      <c r="E11" s="484" t="s">
        <v>47</v>
      </c>
      <c r="F11" s="484" t="s">
        <v>47</v>
      </c>
      <c r="G11" s="483" t="s">
        <v>47</v>
      </c>
      <c r="H11" s="483" t="s">
        <v>47</v>
      </c>
      <c r="I11" s="483" t="s">
        <v>47</v>
      </c>
      <c r="J11" s="483" t="s">
        <v>47</v>
      </c>
      <c r="K11" s="483" t="s">
        <v>47</v>
      </c>
      <c r="L11" s="483" t="s">
        <v>47</v>
      </c>
      <c r="M11" s="483" t="s">
        <v>47</v>
      </c>
      <c r="N11" s="483" t="s">
        <v>47</v>
      </c>
      <c r="O11" s="1751" t="s">
        <v>14</v>
      </c>
    </row>
    <row r="12" spans="1:16" ht="19.5" customHeight="1">
      <c r="A12" s="1750" t="s">
        <v>912</v>
      </c>
      <c r="B12" s="482">
        <v>0.251</v>
      </c>
      <c r="C12" s="482">
        <v>0.29899999999999999</v>
      </c>
      <c r="D12" s="482">
        <v>0.221</v>
      </c>
      <c r="E12" s="482">
        <v>7.2999999999999995E-2</v>
      </c>
      <c r="F12" s="482">
        <v>0</v>
      </c>
      <c r="G12" s="482">
        <v>0</v>
      </c>
      <c r="H12" s="482">
        <v>0</v>
      </c>
      <c r="I12" s="482">
        <v>0</v>
      </c>
      <c r="J12" s="482">
        <v>0</v>
      </c>
      <c r="K12" s="482">
        <v>0</v>
      </c>
      <c r="L12" s="482">
        <v>0</v>
      </c>
      <c r="M12" s="482">
        <v>0</v>
      </c>
      <c r="N12" s="482">
        <v>0</v>
      </c>
      <c r="O12" s="1752" t="s">
        <v>15</v>
      </c>
      <c r="P12" s="471"/>
    </row>
    <row r="13" spans="1:16" ht="19.5" customHeight="1">
      <c r="A13" s="1750" t="s">
        <v>215</v>
      </c>
      <c r="B13" s="482">
        <v>1.113</v>
      </c>
      <c r="C13" s="482">
        <v>1.101</v>
      </c>
      <c r="D13" s="482">
        <v>0.60199999999999998</v>
      </c>
      <c r="E13" s="482">
        <v>0.60499999999999998</v>
      </c>
      <c r="F13" s="482">
        <v>0.66400000000000003</v>
      </c>
      <c r="G13" s="482">
        <v>0.77900000000000003</v>
      </c>
      <c r="H13" s="482">
        <v>0.48699999999999999</v>
      </c>
      <c r="I13" s="482">
        <v>0.6</v>
      </c>
      <c r="J13" s="482">
        <v>0.78100000000000003</v>
      </c>
      <c r="K13" s="482">
        <v>0.78400000000000003</v>
      </c>
      <c r="L13" s="482">
        <v>0.51700000000000002</v>
      </c>
      <c r="M13" s="482">
        <v>3.5999999999999997E-2</v>
      </c>
      <c r="N13" s="481">
        <v>2.8000000000000001E-2</v>
      </c>
      <c r="O13" s="1752" t="s">
        <v>21</v>
      </c>
      <c r="P13" s="471"/>
    </row>
    <row r="14" spans="1:16" ht="19.5" customHeight="1">
      <c r="A14" s="1750" t="s">
        <v>911</v>
      </c>
      <c r="B14" s="482">
        <v>109.803</v>
      </c>
      <c r="C14" s="482">
        <v>113.66200000000001</v>
      </c>
      <c r="D14" s="482">
        <v>113.76900000000001</v>
      </c>
      <c r="E14" s="482">
        <v>117.673</v>
      </c>
      <c r="F14" s="482">
        <v>126.97</v>
      </c>
      <c r="G14" s="482">
        <v>134.63800000000001</v>
      </c>
      <c r="H14" s="482">
        <v>130.47</v>
      </c>
      <c r="I14" s="482">
        <v>138.41500000000002</v>
      </c>
      <c r="J14" s="482">
        <v>142.364</v>
      </c>
      <c r="K14" s="482">
        <v>161.64599999999999</v>
      </c>
      <c r="L14" s="482">
        <v>157.494</v>
      </c>
      <c r="M14" s="482">
        <v>158.19</v>
      </c>
      <c r="N14" s="481">
        <v>153.89500000000001</v>
      </c>
      <c r="O14" s="1752" t="s">
        <v>23</v>
      </c>
      <c r="P14" s="471"/>
    </row>
    <row r="15" spans="1:16" ht="19.5" customHeight="1">
      <c r="A15" s="1750" t="s">
        <v>910</v>
      </c>
      <c r="B15" s="482">
        <v>2.3E-2</v>
      </c>
      <c r="C15" s="482">
        <v>2.4E-2</v>
      </c>
      <c r="D15" s="482">
        <v>0.02</v>
      </c>
      <c r="E15" s="482">
        <v>1.9E-2</v>
      </c>
      <c r="F15" s="482">
        <v>1.9E-2</v>
      </c>
      <c r="G15" s="482">
        <v>1.2999999999999999E-2</v>
      </c>
      <c r="H15" s="482">
        <v>1.2999999999999999E-2</v>
      </c>
      <c r="I15" s="482">
        <v>0.01</v>
      </c>
      <c r="J15" s="482">
        <v>1.4E-2</v>
      </c>
      <c r="K15" s="482">
        <v>1.2999999999999999E-2</v>
      </c>
      <c r="L15" s="482">
        <v>1.4E-2</v>
      </c>
      <c r="M15" s="482">
        <v>1.2E-2</v>
      </c>
      <c r="N15" s="481">
        <v>1.0999999999999999E-2</v>
      </c>
      <c r="O15" s="1752" t="s">
        <v>632</v>
      </c>
      <c r="P15" s="471"/>
    </row>
    <row r="16" spans="1:16" ht="19.5" customHeight="1">
      <c r="A16" s="1750" t="s">
        <v>861</v>
      </c>
      <c r="B16" s="482">
        <v>62.250999999999998</v>
      </c>
      <c r="C16" s="482">
        <v>60.398000000000003</v>
      </c>
      <c r="D16" s="482">
        <v>58.457999999999998</v>
      </c>
      <c r="E16" s="482">
        <v>60.209000000000003</v>
      </c>
      <c r="F16" s="482">
        <v>58.003</v>
      </c>
      <c r="G16" s="1576">
        <v>67.712999999999994</v>
      </c>
      <c r="H16" s="482">
        <v>62.518999999999998</v>
      </c>
      <c r="I16" s="482">
        <v>66.830999999999989</v>
      </c>
      <c r="J16" s="482">
        <v>84.529000000000011</v>
      </c>
      <c r="K16" s="482">
        <v>95.025000000000006</v>
      </c>
      <c r="L16" s="482">
        <v>79.399000000000001</v>
      </c>
      <c r="M16" s="482">
        <v>74.909000000000006</v>
      </c>
      <c r="N16" s="481">
        <v>78.885000000000005</v>
      </c>
      <c r="O16" s="1752" t="s">
        <v>27</v>
      </c>
      <c r="P16" s="471"/>
    </row>
    <row r="17" spans="1:16" ht="19.5" customHeight="1">
      <c r="A17" s="1750" t="s">
        <v>909</v>
      </c>
      <c r="B17" s="482">
        <v>73.528999999999996</v>
      </c>
      <c r="C17" s="482">
        <v>70.700999999999993</v>
      </c>
      <c r="D17" s="482">
        <v>70.804000000000002</v>
      </c>
      <c r="E17" s="482">
        <v>75.617999999999995</v>
      </c>
      <c r="F17" s="482">
        <v>75.340999999999994</v>
      </c>
      <c r="G17" s="482">
        <v>87.299000000000007</v>
      </c>
      <c r="H17" s="482">
        <v>107.505</v>
      </c>
      <c r="I17" s="482">
        <v>104.88200000000001</v>
      </c>
      <c r="J17" s="482">
        <v>111.947</v>
      </c>
      <c r="K17" s="482">
        <v>118.47299999999998</v>
      </c>
      <c r="L17" s="482">
        <v>125.548</v>
      </c>
      <c r="M17" s="482">
        <v>132.35</v>
      </c>
      <c r="N17" s="481">
        <v>137.79499999999999</v>
      </c>
      <c r="O17" s="1752" t="s">
        <v>18</v>
      </c>
      <c r="P17" s="471"/>
    </row>
    <row r="18" spans="1:16" ht="19.5" customHeight="1">
      <c r="A18" s="1750" t="s">
        <v>138</v>
      </c>
      <c r="B18" s="482">
        <v>41.005000000000003</v>
      </c>
      <c r="C18" s="482">
        <v>39.335999999999999</v>
      </c>
      <c r="D18" s="482">
        <v>39.158999999999999</v>
      </c>
      <c r="E18" s="482">
        <v>39.134</v>
      </c>
      <c r="F18" s="482">
        <v>37.222999999999999</v>
      </c>
      <c r="G18" s="482">
        <v>38.256999999999998</v>
      </c>
      <c r="H18" s="482">
        <v>38.350999999999999</v>
      </c>
      <c r="I18" s="482">
        <v>40.558999999999997</v>
      </c>
      <c r="J18" s="482">
        <v>42.219000000000001</v>
      </c>
      <c r="K18" s="482">
        <v>49.817999999999998</v>
      </c>
      <c r="L18" s="482">
        <v>54.746000000000002</v>
      </c>
      <c r="M18" s="482">
        <v>47.435000000000002</v>
      </c>
      <c r="N18" s="481">
        <v>56.529000000000003</v>
      </c>
      <c r="O18" s="1752" t="s">
        <v>29</v>
      </c>
      <c r="P18" s="471"/>
    </row>
    <row r="19" spans="1:16" ht="19.5" customHeight="1">
      <c r="A19" s="1750" t="s">
        <v>908</v>
      </c>
      <c r="B19" s="482">
        <v>5.7670000000000003</v>
      </c>
      <c r="C19" s="482">
        <v>6.9740000000000002</v>
      </c>
      <c r="D19" s="482">
        <v>7.2060000000000004</v>
      </c>
      <c r="E19" s="482">
        <v>5.64</v>
      </c>
      <c r="F19" s="482">
        <v>5.7320000000000002</v>
      </c>
      <c r="G19" s="482">
        <v>2.524</v>
      </c>
      <c r="H19" s="482">
        <v>3.7120000000000002</v>
      </c>
      <c r="I19" s="482">
        <v>2.3079999999999998</v>
      </c>
      <c r="J19" s="482">
        <v>1.5289999999999999</v>
      </c>
      <c r="K19" s="482">
        <v>0</v>
      </c>
      <c r="L19" s="482">
        <v>0</v>
      </c>
      <c r="M19" s="482">
        <v>0</v>
      </c>
      <c r="N19" s="482">
        <v>0</v>
      </c>
      <c r="O19" s="1752" t="s">
        <v>8</v>
      </c>
      <c r="P19" s="471"/>
    </row>
    <row r="20" spans="1:16" ht="19.5" customHeight="1">
      <c r="A20" s="1750" t="s">
        <v>856</v>
      </c>
      <c r="B20" s="482">
        <v>106.40899999999999</v>
      </c>
      <c r="C20" s="482">
        <v>102.565</v>
      </c>
      <c r="D20" s="482">
        <v>105.476</v>
      </c>
      <c r="E20" s="482">
        <v>110.13200000000001</v>
      </c>
      <c r="F20" s="482">
        <v>112.917</v>
      </c>
      <c r="G20" s="482">
        <v>123.627</v>
      </c>
      <c r="H20" s="482">
        <v>138.46100000000001</v>
      </c>
      <c r="I20" s="482">
        <v>139.35900000000001</v>
      </c>
      <c r="J20" s="482">
        <v>143.328</v>
      </c>
      <c r="K20" s="482">
        <v>144.31200000000001</v>
      </c>
      <c r="L20" s="482">
        <v>143.01599999999999</v>
      </c>
      <c r="M20" s="482">
        <v>154.15</v>
      </c>
      <c r="N20" s="481">
        <v>185.06899999999999</v>
      </c>
      <c r="O20" s="1752" t="s">
        <v>9</v>
      </c>
      <c r="P20" s="471"/>
    </row>
    <row r="21" spans="1:16" ht="19.5" customHeight="1">
      <c r="A21" s="1750" t="s">
        <v>218</v>
      </c>
      <c r="B21" s="482">
        <v>50.429000000000002</v>
      </c>
      <c r="C21" s="482" t="s">
        <v>47</v>
      </c>
      <c r="D21" s="482" t="s">
        <v>47</v>
      </c>
      <c r="E21" s="482">
        <v>53.19</v>
      </c>
      <c r="F21" s="482">
        <v>50.469000000000001</v>
      </c>
      <c r="G21" s="482">
        <v>52.536000000000001</v>
      </c>
      <c r="H21" s="482">
        <v>60.38</v>
      </c>
      <c r="I21" s="482">
        <v>61.335999999999999</v>
      </c>
      <c r="J21" s="482">
        <v>62.01</v>
      </c>
      <c r="K21" s="482">
        <v>65.16</v>
      </c>
      <c r="L21" s="482">
        <v>65.703000000000003</v>
      </c>
      <c r="M21" s="482">
        <v>52.603000000000002</v>
      </c>
      <c r="N21" s="481">
        <v>67.233000000000004</v>
      </c>
      <c r="O21" s="1752" t="s">
        <v>39</v>
      </c>
      <c r="P21" s="471"/>
    </row>
    <row r="22" spans="1:16" ht="19.5" customHeight="1">
      <c r="A22" s="1750" t="s">
        <v>907</v>
      </c>
      <c r="B22" s="482">
        <v>13.968</v>
      </c>
      <c r="C22" s="482">
        <v>15.526</v>
      </c>
      <c r="D22" s="482">
        <v>16.178000000000001</v>
      </c>
      <c r="E22" s="482">
        <v>16.09</v>
      </c>
      <c r="F22" s="482">
        <v>14.721</v>
      </c>
      <c r="G22" s="482">
        <v>14.957000000000001</v>
      </c>
      <c r="H22" s="482">
        <v>12.689</v>
      </c>
      <c r="I22" s="482">
        <v>16.056000000000001</v>
      </c>
      <c r="J22" s="482">
        <v>18.309000000000001</v>
      </c>
      <c r="K22" s="482">
        <v>20.274999999999999</v>
      </c>
      <c r="L22" s="482">
        <v>18.03</v>
      </c>
      <c r="M22" s="482">
        <v>17.015999999999998</v>
      </c>
      <c r="N22" s="481">
        <v>18.073</v>
      </c>
      <c r="O22" s="1752" t="s">
        <v>35</v>
      </c>
      <c r="P22" s="471"/>
    </row>
    <row r="23" spans="1:16" ht="19.5" customHeight="1">
      <c r="A23" s="1750" t="s">
        <v>219</v>
      </c>
      <c r="B23" s="482">
        <v>23.081</v>
      </c>
      <c r="C23" s="482">
        <v>21.623999999999999</v>
      </c>
      <c r="D23" s="482">
        <v>24.186</v>
      </c>
      <c r="E23" s="482">
        <v>26.437000000000001</v>
      </c>
      <c r="F23" s="482">
        <v>26.888000000000002</v>
      </c>
      <c r="G23" s="482">
        <v>29.39</v>
      </c>
      <c r="H23" s="482">
        <v>23.756</v>
      </c>
      <c r="I23" s="482">
        <v>25.850999999999999</v>
      </c>
      <c r="J23" s="482">
        <v>28.221999999999998</v>
      </c>
      <c r="K23" s="482">
        <v>32.08</v>
      </c>
      <c r="L23" s="482">
        <v>33.469000000000001</v>
      </c>
      <c r="M23" s="482">
        <v>34.595999999999997</v>
      </c>
      <c r="N23" s="481">
        <v>28.97</v>
      </c>
      <c r="O23" s="1752" t="s">
        <v>37</v>
      </c>
      <c r="P23" s="471"/>
    </row>
    <row r="24" spans="1:16" ht="19.5" customHeight="1">
      <c r="A24" s="1753" t="s">
        <v>906</v>
      </c>
      <c r="B24" s="480">
        <f>SUM(B12:B23)</f>
        <v>487.62900000000008</v>
      </c>
      <c r="C24" s="480">
        <f t="shared" ref="C24:I24" si="1">SUM(C11:C23)</f>
        <v>483.54300000000006</v>
      </c>
      <c r="D24" s="480">
        <f t="shared" si="1"/>
        <v>488.29</v>
      </c>
      <c r="E24" s="480">
        <f t="shared" si="1"/>
        <v>504.82</v>
      </c>
      <c r="F24" s="480">
        <f t="shared" si="1"/>
        <v>508.947</v>
      </c>
      <c r="G24" s="480">
        <f t="shared" si="1"/>
        <v>551.73300000000006</v>
      </c>
      <c r="H24" s="480">
        <f t="shared" si="1"/>
        <v>578.34299999999996</v>
      </c>
      <c r="I24" s="480">
        <f t="shared" si="1"/>
        <v>596.20700000000011</v>
      </c>
      <c r="J24" s="480">
        <f>SUM(J12:J23)</f>
        <v>635.25199999999995</v>
      </c>
      <c r="K24" s="480">
        <f>SUM(K12:K23)</f>
        <v>687.5859999999999</v>
      </c>
      <c r="L24" s="480">
        <f>SUM(L12:L23)</f>
        <v>677.93599999999992</v>
      </c>
      <c r="M24" s="480">
        <f>SUM(M12:M23)</f>
        <v>671.29699999999991</v>
      </c>
      <c r="N24" s="480">
        <f>SUM(N12:N23)</f>
        <v>726.48799999999994</v>
      </c>
      <c r="O24" s="485" t="s">
        <v>905</v>
      </c>
    </row>
    <row r="25" spans="1:16" ht="19.5" customHeight="1">
      <c r="A25" s="1753" t="s">
        <v>143</v>
      </c>
      <c r="B25" s="480">
        <f t="shared" ref="B25:I25" si="2">B24+B9</f>
        <v>532.04200000000003</v>
      </c>
      <c r="C25" s="480">
        <f t="shared" si="2"/>
        <v>533.07600000000002</v>
      </c>
      <c r="D25" s="480">
        <f t="shared" si="2"/>
        <v>539.95000000000005</v>
      </c>
      <c r="E25" s="480">
        <f t="shared" si="2"/>
        <v>556.40200000000004</v>
      </c>
      <c r="F25" s="480">
        <f t="shared" si="2"/>
        <v>565.76499999999999</v>
      </c>
      <c r="G25" s="480">
        <f t="shared" si="2"/>
        <v>609.17900000000009</v>
      </c>
      <c r="H25" s="480">
        <f t="shared" si="2"/>
        <v>639.23</v>
      </c>
      <c r="I25" s="480">
        <f t="shared" si="2"/>
        <v>657.86800000000017</v>
      </c>
      <c r="J25" s="480">
        <f>J9+J24</f>
        <v>675.4</v>
      </c>
      <c r="K25" s="480">
        <f>K9+K24</f>
        <v>728.71799999999985</v>
      </c>
      <c r="L25" s="480">
        <f>L9+L24</f>
        <v>730.87299999999993</v>
      </c>
      <c r="M25" s="480">
        <f>M9+M24</f>
        <v>716.08399999999995</v>
      </c>
      <c r="N25" s="480">
        <f>N9+N24</f>
        <v>778.18999999999994</v>
      </c>
      <c r="O25" s="485" t="s">
        <v>0</v>
      </c>
    </row>
    <row r="26" spans="1:16" ht="6.75" customHeight="1">
      <c r="A26" s="479"/>
      <c r="B26" s="1755"/>
      <c r="C26" s="1755"/>
      <c r="D26" s="1755"/>
      <c r="E26" s="1755"/>
      <c r="F26" s="1755"/>
      <c r="G26" s="1755"/>
      <c r="H26" s="1755"/>
      <c r="I26" s="1755"/>
      <c r="J26" s="1755"/>
      <c r="K26" s="1755"/>
      <c r="L26" s="1755"/>
      <c r="M26" s="1755"/>
      <c r="N26" s="1755"/>
      <c r="O26" s="478"/>
    </row>
    <row r="27" spans="1:16" ht="19.5" customHeight="1">
      <c r="A27" s="2015" t="s">
        <v>904</v>
      </c>
      <c r="B27" s="2016"/>
      <c r="C27" s="2016"/>
      <c r="D27" s="2016"/>
      <c r="E27" s="2016"/>
      <c r="F27" s="2016"/>
      <c r="G27" s="2016"/>
      <c r="H27" s="2016"/>
      <c r="I27" s="2016"/>
      <c r="J27" s="2016"/>
      <c r="K27" s="2016"/>
      <c r="L27" s="477"/>
      <c r="M27" s="477"/>
      <c r="N27" s="477"/>
      <c r="O27" s="476"/>
    </row>
    <row r="28" spans="1:16" ht="15" thickBot="1">
      <c r="A28" s="475" t="s">
        <v>636</v>
      </c>
      <c r="B28" s="473"/>
      <c r="C28" s="473"/>
      <c r="D28" s="473"/>
      <c r="E28" s="473"/>
      <c r="F28" s="473"/>
      <c r="G28" s="473"/>
      <c r="H28" s="474" t="s">
        <v>903</v>
      </c>
      <c r="I28" s="473"/>
      <c r="J28" s="473"/>
      <c r="K28" s="473"/>
      <c r="L28" s="473"/>
      <c r="M28" s="473"/>
      <c r="N28" s="473"/>
      <c r="O28" s="472"/>
    </row>
    <row r="29" spans="1:16" ht="13.5" thickTop="1">
      <c r="F29" s="471"/>
      <c r="G29" s="471"/>
      <c r="H29" s="471"/>
      <c r="I29" s="471"/>
      <c r="J29" s="471"/>
      <c r="K29" s="471"/>
    </row>
    <row r="32" spans="1:16">
      <c r="D32" s="471"/>
      <c r="E32" s="471"/>
      <c r="F32" s="471"/>
      <c r="G32" s="471"/>
      <c r="H32" s="471"/>
      <c r="I32" s="471"/>
      <c r="J32" s="471"/>
      <c r="K32" s="471"/>
    </row>
    <row r="99" spans="1:1">
      <c r="A99" s="470" t="s">
        <v>902</v>
      </c>
    </row>
  </sheetData>
  <mergeCells count="5">
    <mergeCell ref="A1:O1"/>
    <mergeCell ref="A2:O2"/>
    <mergeCell ref="A4:I4"/>
    <mergeCell ref="A10:I10"/>
    <mergeCell ref="A27:K27"/>
  </mergeCells>
  <conditionalFormatting sqref="R3:XFD25 Q3:Q10 P3:P4 P10 O3:O10 O11:P25 A3:N25">
    <cfRule type="expression" dxfId="99" priority="1">
      <formula>MOD(ROW(),3)=1</formula>
    </cfRule>
  </conditionalFormatting>
  <printOptions horizontalCentered="1"/>
  <pageMargins left="0.23622047244094491" right="0.23622047244094491" top="0.74803149606299213" bottom="0.74803149606299213" header="0.31496062992125984" footer="0.31496062992125984"/>
  <pageSetup paperSize="9" scale="90" firstPageNumber="90" fitToHeight="0" pageOrder="overThenDown" orientation="landscape" r:id="rId1"/>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61</vt:i4>
      </vt:variant>
      <vt:variant>
        <vt:lpstr>Named Ranges</vt:lpstr>
      </vt:variant>
      <vt:variant>
        <vt:i4>88</vt:i4>
      </vt:variant>
    </vt:vector>
  </HeadingPairs>
  <TitlesOfParts>
    <vt:vector size="149" baseType="lpstr">
      <vt:lpstr>2.01</vt:lpstr>
      <vt:lpstr>2.02</vt:lpstr>
      <vt:lpstr> 2.03</vt:lpstr>
      <vt:lpstr>2.04</vt:lpstr>
      <vt:lpstr>2.05</vt:lpstr>
      <vt:lpstr>2.06</vt:lpstr>
      <vt:lpstr>2.07</vt:lpstr>
      <vt:lpstr>2.08</vt:lpstr>
      <vt:lpstr>2.09</vt:lpstr>
      <vt:lpstr>2.10</vt:lpstr>
      <vt:lpstr>2.11</vt:lpstr>
      <vt:lpstr>2.12</vt:lpstr>
      <vt:lpstr>2.13 </vt:lpstr>
      <vt:lpstr>2.14</vt:lpstr>
      <vt:lpstr>2.15 </vt:lpstr>
      <vt:lpstr>2.16</vt:lpstr>
      <vt:lpstr>2.17</vt:lpstr>
      <vt:lpstr>2.18</vt:lpstr>
      <vt:lpstr>2.19</vt:lpstr>
      <vt:lpstr>2.20(a)</vt:lpstr>
      <vt:lpstr>2.20 (b)</vt:lpstr>
      <vt:lpstr>2.20(c)</vt:lpstr>
      <vt:lpstr>2.21</vt:lpstr>
      <vt:lpstr>2.22</vt:lpstr>
      <vt:lpstr>2.23</vt:lpstr>
      <vt:lpstr>2.24</vt:lpstr>
      <vt:lpstr>2.25</vt:lpstr>
      <vt:lpstr>2.26a</vt:lpstr>
      <vt:lpstr>2.26b</vt:lpstr>
      <vt:lpstr>2.26c</vt:lpstr>
      <vt:lpstr>2.26d</vt:lpstr>
      <vt:lpstr>2.27a</vt:lpstr>
      <vt:lpstr>2.27b</vt:lpstr>
      <vt:lpstr>2.28</vt:lpstr>
      <vt:lpstr>2.29</vt:lpstr>
      <vt:lpstr>2.30</vt:lpstr>
      <vt:lpstr>2.31</vt:lpstr>
      <vt:lpstr>2.32</vt:lpstr>
      <vt:lpstr>2.33(a)</vt:lpstr>
      <vt:lpstr>2.33(b)</vt:lpstr>
      <vt:lpstr>2.34a</vt:lpstr>
      <vt:lpstr>2.34b</vt:lpstr>
      <vt:lpstr>2.34c</vt:lpstr>
      <vt:lpstr>2.35a</vt:lpstr>
      <vt:lpstr>2.35b</vt:lpstr>
      <vt:lpstr>2.36</vt:lpstr>
      <vt:lpstr>2.37</vt:lpstr>
      <vt:lpstr>2.38ab</vt:lpstr>
      <vt:lpstr>2.39a</vt:lpstr>
      <vt:lpstr>2.39b</vt:lpstr>
      <vt:lpstr>2.40a</vt:lpstr>
      <vt:lpstr>2.40b</vt:lpstr>
      <vt:lpstr>2.40c</vt:lpstr>
      <vt:lpstr>2.41</vt:lpstr>
      <vt:lpstr>2.42a</vt:lpstr>
      <vt:lpstr>2.42b</vt:lpstr>
      <vt:lpstr>2.43a</vt:lpstr>
      <vt:lpstr>2.43b</vt:lpstr>
      <vt:lpstr>2.61 </vt:lpstr>
      <vt:lpstr>2.44</vt:lpstr>
      <vt:lpstr>2.57</vt:lpstr>
      <vt:lpstr>' 2.03'!Print_Area</vt:lpstr>
      <vt:lpstr>'2.01'!Print_Area</vt:lpstr>
      <vt:lpstr>'2.02'!Print_Area</vt:lpstr>
      <vt:lpstr>'2.04'!Print_Area</vt:lpstr>
      <vt:lpstr>'2.05'!Print_Area</vt:lpstr>
      <vt:lpstr>'2.06'!Print_Area</vt:lpstr>
      <vt:lpstr>'2.07'!Print_Area</vt:lpstr>
      <vt:lpstr>'2.08'!Print_Area</vt:lpstr>
      <vt:lpstr>'2.09'!Print_Area</vt:lpstr>
      <vt:lpstr>'2.10'!Print_Area</vt:lpstr>
      <vt:lpstr>'2.11'!Print_Area</vt:lpstr>
      <vt:lpstr>'2.12'!Print_Area</vt:lpstr>
      <vt:lpstr>'2.13 '!Print_Area</vt:lpstr>
      <vt:lpstr>'2.14'!Print_Area</vt:lpstr>
      <vt:lpstr>'2.15 '!Print_Area</vt:lpstr>
      <vt:lpstr>'2.16'!Print_Area</vt:lpstr>
      <vt:lpstr>'2.17'!Print_Area</vt:lpstr>
      <vt:lpstr>'2.18'!Print_Area</vt:lpstr>
      <vt:lpstr>'2.19'!Print_Area</vt:lpstr>
      <vt:lpstr>'2.20 (b)'!Print_Area</vt:lpstr>
      <vt:lpstr>'2.20(a)'!Print_Area</vt:lpstr>
      <vt:lpstr>'2.20(c)'!Print_Area</vt:lpstr>
      <vt:lpstr>'2.21'!Print_Area</vt:lpstr>
      <vt:lpstr>'2.22'!Print_Area</vt:lpstr>
      <vt:lpstr>'2.23'!Print_Area</vt:lpstr>
      <vt:lpstr>'2.24'!Print_Area</vt:lpstr>
      <vt:lpstr>'2.25'!Print_Area</vt:lpstr>
      <vt:lpstr>'2.26a'!Print_Area</vt:lpstr>
      <vt:lpstr>'2.26b'!Print_Area</vt:lpstr>
      <vt:lpstr>'2.26c'!Print_Area</vt:lpstr>
      <vt:lpstr>'2.26d'!Print_Area</vt:lpstr>
      <vt:lpstr>'2.27a'!Print_Area</vt:lpstr>
      <vt:lpstr>'2.27b'!Print_Area</vt:lpstr>
      <vt:lpstr>'2.28'!Print_Area</vt:lpstr>
      <vt:lpstr>'2.29'!Print_Area</vt:lpstr>
      <vt:lpstr>'2.30'!Print_Area</vt:lpstr>
      <vt:lpstr>'2.31'!Print_Area</vt:lpstr>
      <vt:lpstr>'2.32'!Print_Area</vt:lpstr>
      <vt:lpstr>'2.33(a)'!Print_Area</vt:lpstr>
      <vt:lpstr>'2.33(b)'!Print_Area</vt:lpstr>
      <vt:lpstr>'2.34a'!Print_Area</vt:lpstr>
      <vt:lpstr>'2.34b'!Print_Area</vt:lpstr>
      <vt:lpstr>'2.34c'!Print_Area</vt:lpstr>
      <vt:lpstr>'2.35a'!Print_Area</vt:lpstr>
      <vt:lpstr>'2.35b'!Print_Area</vt:lpstr>
      <vt:lpstr>'2.36'!Print_Area</vt:lpstr>
      <vt:lpstr>'2.37'!Print_Area</vt:lpstr>
      <vt:lpstr>'2.38ab'!Print_Area</vt:lpstr>
      <vt:lpstr>'2.39a'!Print_Area</vt:lpstr>
      <vt:lpstr>'2.39b'!Print_Area</vt:lpstr>
      <vt:lpstr>'2.40a'!Print_Area</vt:lpstr>
      <vt:lpstr>'2.40b'!Print_Area</vt:lpstr>
      <vt:lpstr>'2.40c'!Print_Area</vt:lpstr>
      <vt:lpstr>'2.41'!Print_Area</vt:lpstr>
      <vt:lpstr>'2.42a'!Print_Area</vt:lpstr>
      <vt:lpstr>'2.42b'!Print_Area</vt:lpstr>
      <vt:lpstr>'2.43a'!Print_Area</vt:lpstr>
      <vt:lpstr>'2.43b'!Print_Area</vt:lpstr>
      <vt:lpstr>'2.44'!Print_Area</vt:lpstr>
      <vt:lpstr>'2.57'!Print_Area</vt:lpstr>
      <vt:lpstr>'2.61 '!Print_Area</vt:lpstr>
      <vt:lpstr>' 2.03'!Print_Titles</vt:lpstr>
      <vt:lpstr>'2.01'!Print_Titles</vt:lpstr>
      <vt:lpstr>'2.02'!Print_Titles</vt:lpstr>
      <vt:lpstr>'2.04'!Print_Titles</vt:lpstr>
      <vt:lpstr>'2.05'!Print_Titles</vt:lpstr>
      <vt:lpstr>'2.06'!Print_Titles</vt:lpstr>
      <vt:lpstr>'2.07'!Print_Titles</vt:lpstr>
      <vt:lpstr>'2.08'!Print_Titles</vt:lpstr>
      <vt:lpstr>'2.09'!Print_Titles</vt:lpstr>
      <vt:lpstr>'2.10'!Print_Titles</vt:lpstr>
      <vt:lpstr>'2.11'!Print_Titles</vt:lpstr>
      <vt:lpstr>'2.12'!Print_Titles</vt:lpstr>
      <vt:lpstr>'2.13 '!Print_Titles</vt:lpstr>
      <vt:lpstr>'2.14'!Print_Titles</vt:lpstr>
      <vt:lpstr>'2.15 '!Print_Titles</vt:lpstr>
      <vt:lpstr>'2.18'!Print_Titles</vt:lpstr>
      <vt:lpstr>'2.19'!Print_Titles</vt:lpstr>
      <vt:lpstr>'2.27b'!Print_Titles</vt:lpstr>
      <vt:lpstr>'2.32'!Print_Titles</vt:lpstr>
      <vt:lpstr>'2.33(a)'!Print_Titles</vt:lpstr>
      <vt:lpstr>'2.33(b)'!Print_Titles</vt:lpstr>
      <vt:lpstr>'2.37'!Print_Titles</vt:lpstr>
      <vt:lpstr>'2.42a'!Print_Titles</vt:lpstr>
      <vt:lpstr>'2.42b'!Print_Titles</vt:lpstr>
      <vt:lpstr>'2.43a'!Print_Titles</vt:lpstr>
      <vt:lpstr>'2.43b'!Print_Titles</vt:lpstr>
      <vt:lpstr>'2.61 '!Print_Titles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2023-04-05T10:53:38Z</dcterms:modified>
</cp:coreProperties>
</file>