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tabRatio="601" activeTab="0"/>
  </bookViews>
  <sheets>
    <sheet name="S76.1" sheetId="1" r:id="rId1"/>
  </sheets>
  <definedNames>
    <definedName name="_xlnm.Print_Area" localSheetId="0">'S76.1'!$A$1:$AL$89</definedName>
  </definedNames>
  <calcPr fullCalcOnLoad="1"/>
</workbook>
</file>

<file path=xl/sharedStrings.xml><?xml version="1.0" encoding="utf-8"?>
<sst xmlns="http://schemas.openxmlformats.org/spreadsheetml/2006/main" count="419" uniqueCount="96">
  <si>
    <t>STATEMENT 76.1: FACTOR INCOMES BY KIND OF ECONOMIC ACTIVITY</t>
  </si>
  <si>
    <t>(AT CURRENT PRICES)</t>
  </si>
  <si>
    <t>CE</t>
  </si>
  <si>
    <t>OS/MI</t>
  </si>
  <si>
    <t>a</t>
  </si>
  <si>
    <t>b</t>
  </si>
  <si>
    <t>Organised</t>
  </si>
  <si>
    <t>Unorganised</t>
  </si>
  <si>
    <t>agriculture</t>
  </si>
  <si>
    <t>forestry and logging</t>
  </si>
  <si>
    <t>fishing</t>
  </si>
  <si>
    <t>Mining and quarrying</t>
  </si>
  <si>
    <t>Manufacturing</t>
  </si>
  <si>
    <t>Electricity</t>
  </si>
  <si>
    <t>Construction</t>
  </si>
  <si>
    <t>Trade</t>
  </si>
  <si>
    <t>Hotels and restaurants</t>
  </si>
  <si>
    <t>railways</t>
  </si>
  <si>
    <t>transport by other means</t>
  </si>
  <si>
    <t>storage</t>
  </si>
  <si>
    <t>communication</t>
  </si>
  <si>
    <t>banking and insurance</t>
  </si>
  <si>
    <t>other services</t>
  </si>
  <si>
    <t>All sectors</t>
  </si>
  <si>
    <t>Industry</t>
  </si>
  <si>
    <t xml:space="preserve"> =tÉÉäMÉ</t>
  </si>
  <si>
    <t xml:space="preserve"> ºÉÆMÉÉÊ~iÉ</t>
  </si>
  <si>
    <t xml:space="preserve"> +ÉºÉÆMÉÉÊ~iÉ</t>
  </si>
  <si>
    <t xml:space="preserve"> ´ÉÉÉÊxÉBÉEÉÒ A´ÉÆ ãÉ]~É ¤ÉxÉÉxÉÉ</t>
  </si>
  <si>
    <t xml:space="preserve"> àÉiºªÉxÉ</t>
  </si>
  <si>
    <t xml:space="preserve"> JÉxÉxÉ A´ÉÆ =iJÉxÉxÉ</t>
  </si>
  <si>
    <t xml:space="preserve"> ÉÊxÉàÉÉÇhÉ</t>
  </si>
  <si>
    <t xml:space="preserve"> BªÉÉ{ÉÉ®, cÉä]ãÉ A´ÉÆ VÉãÉ{ÉÉxÉ MÉßc</t>
  </si>
  <si>
    <t xml:space="preserve"> cÉä]ãÉ A´ÉÆ VÉãÉ{ÉÉxÉ MÉßc</t>
  </si>
  <si>
    <t xml:space="preserve"> {ÉÉÊ®´ÉcxÉ, £ÉÆbÉ®hÉ A´ÉÆ ºÉÆSÉÉ®</t>
  </si>
  <si>
    <t xml:space="preserve"> ®äãÉ´Éä</t>
  </si>
  <si>
    <t xml:space="preserve"> +ÉxªÉ {ÉÉÊ®´ÉcxÉ</t>
  </si>
  <si>
    <t xml:space="preserve"> £ÉÆbÉ®hÉ</t>
  </si>
  <si>
    <t xml:space="preserve"> ºÉÆSÉÉ®</t>
  </si>
  <si>
    <t xml:space="preserve"> ¤ÉéÉËBÉEMÉ A´ÉÆ ¤ÉÉÒàÉÉ</t>
  </si>
  <si>
    <t xml:space="preserve"> ãÉÉäBÉE |É¶ÉÉºÉxÉ A´ÉÆ ®FÉÉ</t>
  </si>
  <si>
    <t xml:space="preserve"> +ÉxªÉ ºÉä´ÉÉAÆ</t>
  </si>
  <si>
    <t xml:space="preserve"> ºÉ¤É FÉäjÉ</t>
  </si>
  <si>
    <t xml:space="preserve"> (BÉE®Éä½ °ô{ÉªÉä)</t>
  </si>
  <si>
    <t xml:space="preserve"> ÉÊ´ÉÉÊxÉàÉÉÇhÉ</t>
  </si>
  <si>
    <t xml:space="preserve"> BÉEßÉÊ­É</t>
  </si>
  <si>
    <t>(|ÉSÉÉÊãÉiÉ £ÉÉ´ÉÉå {É®)</t>
  </si>
  <si>
    <t xml:space="preserve"> ÉÊ´ÉtÉÖiÉ, MÉèºÉ A´ÉÆ VÉãÉ +ÉÉ{ÉÚÉÌiÉ</t>
  </si>
  <si>
    <t xml:space="preserve"> BªÉÉ{ÉÉ®</t>
  </si>
  <si>
    <t xml:space="preserve"> ÉÊ´ÉkÉ BªÉ´ÉºlÉÉ, ¤ÉÉÒàÉÉ, ºlÉÉ´É® </t>
  </si>
  <si>
    <t xml:space="preserve"> ºÉÆ{ÉnÉ A´ÉÆ BªÉÉ´ÉºÉÉÉÊªÉBÉE ºÉä´ÉÉAÆ</t>
  </si>
  <si>
    <t xml:space="preserve"> ºlÉÉ´É® ºÉÆ{ÉnÉ, +ÉÉ´ÉÉºÉÉå BÉEÉ </t>
  </si>
  <si>
    <t xml:space="preserve"> º´ÉÉÉÊàÉi´É A´ÉÆ BªÉÉ´ÉºÉÉÉÊªÉBÉE ºÉä´ÉÉAÆ</t>
  </si>
  <si>
    <t>public admn. &amp; defence</t>
  </si>
  <si>
    <t>Trade, hotels&amp; restaurants</t>
  </si>
  <si>
    <t xml:space="preserve"> |É.+É. /</t>
  </si>
  <si>
    <t xml:space="preserve"> ºÉ.+ÉÉ.</t>
  </si>
  <si>
    <t>Transport, storage &amp; communication</t>
  </si>
  <si>
    <t>and  business services</t>
  </si>
  <si>
    <t xml:space="preserve">financing, insurance, real estate </t>
  </si>
  <si>
    <t>and business services</t>
  </si>
  <si>
    <t xml:space="preserve">real estate, ownership of dwelling </t>
  </si>
  <si>
    <t xml:space="preserve"> ºÉÉàÉÖnÉÉÊªÉBÉE, ºÉÉàÉÉÉÊVÉBÉE A´ÉÆ ´ÉèªÉÉÎBÉDiÉBÉE ºÉä´ÉÉAÆ</t>
  </si>
  <si>
    <t xml:space="preserve">Community, social &amp; personal services </t>
  </si>
  <si>
    <t xml:space="preserve"> BÉEßÉÊ­É, ´ÉÉÉÊxÉBÉEÉÒ A´ÉÆ ãÉ]~É  ¤ÉxÉÉxÉÉ, àÉiºªÉxÉ</t>
  </si>
  <si>
    <t>Agriculture, forestry &amp; logging and fishing</t>
  </si>
  <si>
    <r>
      <t xml:space="preserve"> ÉÊ´É´É®hÉ</t>
    </r>
    <r>
      <rPr>
        <b/>
        <sz val="14"/>
        <rFont val="Arial Narrow"/>
        <family val="2"/>
      </rPr>
      <t xml:space="preserve"> 76.1: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+ÉÉÉÌlÉBÉE BÉEÉªÉÇBÉEãÉÉ{É BÉEä |ÉBÉEÉ® BÉEä +ÉxÉÖºÉÉ® BÉEÉ®BÉE +ÉÉªÉ</t>
    </r>
  </si>
  <si>
    <t>BÉE</t>
  </si>
  <si>
    <t>JÉ</t>
  </si>
  <si>
    <t>CONTD…</t>
  </si>
  <si>
    <t>BÉE.{ÉÉ.</t>
  </si>
  <si>
    <r>
      <t xml:space="preserve"> VÉÉ®ÉÒ</t>
    </r>
    <r>
      <rPr>
        <b/>
        <sz val="14"/>
        <rFont val="Arial Narrow"/>
        <family val="2"/>
      </rPr>
      <t>...</t>
    </r>
  </si>
  <si>
    <t>2004-05</t>
  </si>
  <si>
    <t>2005-06</t>
  </si>
  <si>
    <t>2006-07</t>
  </si>
  <si>
    <t>2007-08</t>
  </si>
  <si>
    <t>2008-09</t>
  </si>
  <si>
    <t>CFC</t>
  </si>
  <si>
    <t>GDP</t>
  </si>
  <si>
    <t>ºlÉÉªÉÉÒ {ÉÚÆVÉÉÒ</t>
  </si>
  <si>
    <t xml:space="preserve"> BÉEÉ +É´ÉFÉªÉ</t>
  </si>
  <si>
    <t>ºÉ. nä. =.</t>
  </si>
  <si>
    <t>CE- compensation of emloyees</t>
  </si>
  <si>
    <t>OS-operating surplus</t>
  </si>
  <si>
    <t>MI-mixed income</t>
  </si>
  <si>
    <t xml:space="preserve">   CFC-consumption of fixed capital</t>
  </si>
  <si>
    <t>ºlÉÉªÉÉÒ {ÉÚÆVÉÉÒ  BÉEÉ +É´ÉFÉªÉ</t>
  </si>
  <si>
    <r>
      <t xml:space="preserve">  BÉE</t>
    </r>
    <r>
      <rPr>
        <b/>
        <sz val="14"/>
        <rFont val="Arial Narrow"/>
        <family val="2"/>
      </rPr>
      <t>.</t>
    </r>
    <r>
      <rPr>
        <b/>
        <sz val="14"/>
        <rFont val="DV_Divyae"/>
        <family val="0"/>
      </rPr>
      <t>{ÉÉ</t>
    </r>
    <r>
      <rPr>
        <b/>
        <sz val="14"/>
        <rFont val="Arial Narrow"/>
        <family val="2"/>
      </rPr>
      <t>.</t>
    </r>
    <r>
      <rPr>
        <b/>
        <sz val="14"/>
        <rFont val="DV_Divyae"/>
        <family val="0"/>
      </rPr>
      <t xml:space="preserve">  -  BÉEàÉÇSÉÉÉÊ®ªÉÉå BÉEÉ {ÉÉÉÊ®gÉÉÊàÉBÉE    </t>
    </r>
  </si>
  <si>
    <r>
      <t xml:space="preserve"> |É</t>
    </r>
    <r>
      <rPr>
        <b/>
        <sz val="14"/>
        <rFont val="Arial Narrow"/>
        <family val="2"/>
      </rPr>
      <t>.</t>
    </r>
    <r>
      <rPr>
        <b/>
        <sz val="14"/>
        <rFont val="DV_Divyae"/>
        <family val="0"/>
      </rPr>
      <t>+É</t>
    </r>
    <r>
      <rPr>
        <b/>
        <sz val="14"/>
        <rFont val="Arial Narrow"/>
        <family val="2"/>
      </rPr>
      <t xml:space="preserve">.  </t>
    </r>
    <r>
      <rPr>
        <b/>
        <sz val="14"/>
        <rFont val="DV_Divyae"/>
        <family val="0"/>
      </rPr>
      <t xml:space="preserve">- |ÉSÉÉãÉxÉ +ÉÉÊvÉ¶Éä­É  </t>
    </r>
  </si>
  <si>
    <t xml:space="preserve">  ºÉ. nä. =.  -  ºÉBÉEãÉ nä¶ÉÉÒªÉ =i{ÉÉn</t>
  </si>
  <si>
    <t>GDP-gross domestic product</t>
  </si>
  <si>
    <t>2009-10</t>
  </si>
  <si>
    <t>(` crore)</t>
  </si>
  <si>
    <t>2010-11</t>
  </si>
  <si>
    <t>2011-12</t>
  </si>
  <si>
    <t xml:space="preserve">   ºÉ.+ÉÉ.  -  ºÉÉÎààÉÉÊãÉiÉ +ÉÉªÉ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</si>
</sst>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0.0000"/>
    <numFmt numFmtId="173" formatCode="0.000"/>
    <numFmt numFmtId="174" formatCode="0.0"/>
    <numFmt numFmtId="175" formatCode="0.0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b/>
      <sz val="12"/>
      <name val="Times New Roman"/>
      <family val="1"/>
    </font>
    <font>
      <sz val="12"/>
      <name val="Courier"/>
      <family val="0"/>
    </font>
    <font>
      <sz val="12"/>
      <name val="Times New Roman"/>
      <family val="1"/>
    </font>
    <font>
      <sz val="12"/>
      <name val="DV_Divya"/>
      <family val="0"/>
    </font>
    <font>
      <b/>
      <sz val="12"/>
      <name val="Courier"/>
      <family val="0"/>
    </font>
    <font>
      <b/>
      <i/>
      <sz val="12"/>
      <name val="Times New Roman"/>
      <family val="1"/>
    </font>
    <font>
      <b/>
      <sz val="12"/>
      <name val="DV_Divyae"/>
      <family val="0"/>
    </font>
    <font>
      <sz val="12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b/>
      <sz val="14"/>
      <name val="DV_Divyae"/>
      <family val="0"/>
    </font>
    <font>
      <b/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u val="single"/>
      <sz val="10"/>
      <color indexed="12"/>
      <name val="Courier"/>
      <family val="0"/>
    </font>
    <font>
      <i/>
      <sz val="12"/>
      <name val="Arial Narrow"/>
      <family val="2"/>
    </font>
    <font>
      <b/>
      <sz val="10"/>
      <name val="Courier"/>
      <family val="3"/>
    </font>
    <font>
      <sz val="13"/>
      <name val="DV_Divyae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1" fontId="13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6"/>
  <sheetViews>
    <sheetView tabSelected="1" view="pageBreakPreview" zoomScaleSheetLayoutView="100" zoomScalePageLayoutView="0" workbookViewId="0" topLeftCell="A37">
      <selection activeCell="I10" sqref="I10"/>
    </sheetView>
  </sheetViews>
  <sheetFormatPr defaultColWidth="9.00390625" defaultRowHeight="12.75"/>
  <cols>
    <col min="1" max="1" width="4.625" style="68" customWidth="1"/>
    <col min="2" max="2" width="31.75390625" style="68" customWidth="1"/>
    <col min="3" max="3" width="7.625" style="68" customWidth="1"/>
    <col min="4" max="4" width="9.75390625" style="68" customWidth="1"/>
    <col min="5" max="5" width="9.50390625" style="68" customWidth="1"/>
    <col min="6" max="8" width="7.625" style="68" customWidth="1"/>
    <col min="9" max="9" width="8.25390625" style="68" customWidth="1"/>
    <col min="10" max="12" width="7.625" style="68" customWidth="1"/>
    <col min="13" max="13" width="8.50390625" style="68" customWidth="1"/>
    <col min="14" max="16" width="7.625" style="68" customWidth="1"/>
    <col min="17" max="17" width="8.75390625" style="68" customWidth="1"/>
    <col min="18" max="20" width="7.625" style="68" customWidth="1"/>
    <col min="21" max="21" width="8.75390625" style="68" customWidth="1"/>
    <col min="22" max="34" width="7.625" style="68" customWidth="1"/>
    <col min="35" max="35" width="1.625" style="68" customWidth="1"/>
    <col min="36" max="36" width="4.625" style="68" customWidth="1"/>
    <col min="37" max="37" width="1.625" style="68" customWidth="1"/>
    <col min="38" max="38" width="34.625" style="68" customWidth="1"/>
    <col min="39" max="16384" width="9.00390625" style="68" customWidth="1"/>
  </cols>
  <sheetData>
    <row r="1" spans="1:38" s="44" customFormat="1" ht="30" customHeight="1">
      <c r="A1" s="79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8" t="s">
        <v>0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1:38" s="44" customFormat="1" ht="30" customHeight="1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8" t="s">
        <v>1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37" s="26" customFormat="1" ht="30" customHeight="1">
      <c r="A3" s="40"/>
      <c r="B3" s="40"/>
      <c r="C3" s="71"/>
      <c r="D3" s="71"/>
      <c r="E3" s="71"/>
      <c r="H3" s="58"/>
      <c r="I3" s="58"/>
      <c r="J3" s="58"/>
      <c r="O3" s="71" t="s">
        <v>43</v>
      </c>
      <c r="P3" s="71"/>
      <c r="Q3" s="71"/>
      <c r="R3" s="71"/>
      <c r="S3" s="69" t="s">
        <v>92</v>
      </c>
      <c r="T3" s="70"/>
      <c r="AI3" s="42"/>
      <c r="AJ3" s="42"/>
      <c r="AK3" s="41"/>
    </row>
    <row r="4" spans="1:38" s="6" customFormat="1" ht="21" customHeight="1">
      <c r="A4" s="76" t="s">
        <v>25</v>
      </c>
      <c r="B4" s="76"/>
      <c r="C4" s="74" t="s">
        <v>72</v>
      </c>
      <c r="D4" s="74"/>
      <c r="E4" s="74"/>
      <c r="F4" s="74"/>
      <c r="G4" s="74" t="s">
        <v>73</v>
      </c>
      <c r="H4" s="74"/>
      <c r="I4" s="74"/>
      <c r="J4" s="74"/>
      <c r="K4" s="74" t="s">
        <v>74</v>
      </c>
      <c r="L4" s="74"/>
      <c r="M4" s="74"/>
      <c r="N4" s="74"/>
      <c r="O4" s="74" t="s">
        <v>75</v>
      </c>
      <c r="P4" s="74"/>
      <c r="Q4" s="74"/>
      <c r="R4" s="74"/>
      <c r="S4" s="74" t="s">
        <v>76</v>
      </c>
      <c r="T4" s="74"/>
      <c r="U4" s="74"/>
      <c r="V4" s="74"/>
      <c r="W4" s="74" t="s">
        <v>91</v>
      </c>
      <c r="X4" s="74"/>
      <c r="Y4" s="74"/>
      <c r="Z4" s="74"/>
      <c r="AA4" s="74" t="s">
        <v>93</v>
      </c>
      <c r="AB4" s="74"/>
      <c r="AC4" s="74"/>
      <c r="AD4" s="74"/>
      <c r="AE4" s="74" t="s">
        <v>94</v>
      </c>
      <c r="AF4" s="74"/>
      <c r="AG4" s="74"/>
      <c r="AH4" s="74"/>
      <c r="AI4" s="81" t="s">
        <v>24</v>
      </c>
      <c r="AJ4" s="81"/>
      <c r="AK4" s="81"/>
      <c r="AL4" s="81"/>
    </row>
    <row r="5" spans="1:38" s="6" customFormat="1" ht="21" customHeight="1">
      <c r="A5" s="77"/>
      <c r="B5" s="77"/>
      <c r="C5" s="35" t="s">
        <v>70</v>
      </c>
      <c r="D5" s="35" t="s">
        <v>55</v>
      </c>
      <c r="E5" s="72" t="s">
        <v>86</v>
      </c>
      <c r="F5" s="57" t="s">
        <v>81</v>
      </c>
      <c r="G5" s="35" t="s">
        <v>70</v>
      </c>
      <c r="H5" s="35" t="s">
        <v>55</v>
      </c>
      <c r="I5" s="59" t="s">
        <v>79</v>
      </c>
      <c r="J5" s="57" t="s">
        <v>81</v>
      </c>
      <c r="K5" s="35" t="s">
        <v>70</v>
      </c>
      <c r="L5" s="35" t="s">
        <v>55</v>
      </c>
      <c r="M5" s="72" t="s">
        <v>86</v>
      </c>
      <c r="N5" s="57" t="s">
        <v>81</v>
      </c>
      <c r="O5" s="35" t="s">
        <v>70</v>
      </c>
      <c r="P5" s="35" t="s">
        <v>55</v>
      </c>
      <c r="Q5" s="72" t="s">
        <v>86</v>
      </c>
      <c r="R5" s="57" t="s">
        <v>81</v>
      </c>
      <c r="S5" s="35" t="s">
        <v>70</v>
      </c>
      <c r="T5" s="35" t="s">
        <v>55</v>
      </c>
      <c r="U5" s="72" t="s">
        <v>86</v>
      </c>
      <c r="V5" s="57" t="s">
        <v>81</v>
      </c>
      <c r="W5" s="35" t="s">
        <v>70</v>
      </c>
      <c r="X5" s="35" t="s">
        <v>55</v>
      </c>
      <c r="Y5" s="72" t="s">
        <v>86</v>
      </c>
      <c r="Z5" s="57" t="s">
        <v>81</v>
      </c>
      <c r="AA5" s="35" t="s">
        <v>70</v>
      </c>
      <c r="AB5" s="35" t="s">
        <v>55</v>
      </c>
      <c r="AC5" s="72" t="s">
        <v>86</v>
      </c>
      <c r="AD5" s="57" t="s">
        <v>81</v>
      </c>
      <c r="AE5" s="35" t="s">
        <v>70</v>
      </c>
      <c r="AF5" s="35" t="s">
        <v>55</v>
      </c>
      <c r="AG5" s="72" t="s">
        <v>86</v>
      </c>
      <c r="AH5" s="57" t="s">
        <v>81</v>
      </c>
      <c r="AI5" s="82"/>
      <c r="AJ5" s="82"/>
      <c r="AK5" s="82"/>
      <c r="AL5" s="82"/>
    </row>
    <row r="6" spans="1:38" s="6" customFormat="1" ht="31.5" customHeight="1">
      <c r="A6" s="77"/>
      <c r="B6" s="77"/>
      <c r="C6" s="35"/>
      <c r="D6" s="35" t="s">
        <v>56</v>
      </c>
      <c r="E6" s="73"/>
      <c r="F6" s="24"/>
      <c r="G6" s="35"/>
      <c r="H6" s="35" t="s">
        <v>56</v>
      </c>
      <c r="I6" s="35" t="s">
        <v>80</v>
      </c>
      <c r="J6" s="24"/>
      <c r="K6" s="35"/>
      <c r="L6" s="35" t="s">
        <v>56</v>
      </c>
      <c r="M6" s="73"/>
      <c r="N6" s="24"/>
      <c r="O6" s="35"/>
      <c r="P6" s="35" t="s">
        <v>56</v>
      </c>
      <c r="Q6" s="73"/>
      <c r="R6" s="24"/>
      <c r="S6" s="35"/>
      <c r="T6" s="35" t="s">
        <v>56</v>
      </c>
      <c r="U6" s="73"/>
      <c r="V6" s="24"/>
      <c r="W6" s="35"/>
      <c r="X6" s="35" t="s">
        <v>56</v>
      </c>
      <c r="Y6" s="73"/>
      <c r="Z6" s="24"/>
      <c r="AA6" s="35"/>
      <c r="AB6" s="35" t="s">
        <v>56</v>
      </c>
      <c r="AC6" s="73"/>
      <c r="AD6" s="24"/>
      <c r="AE6" s="35"/>
      <c r="AF6" s="35" t="s">
        <v>56</v>
      </c>
      <c r="AG6" s="73"/>
      <c r="AH6" s="24"/>
      <c r="AI6" s="82"/>
      <c r="AJ6" s="82"/>
      <c r="AK6" s="82"/>
      <c r="AL6" s="82"/>
    </row>
    <row r="7" spans="1:38" s="6" customFormat="1" ht="21" customHeight="1">
      <c r="A7" s="71"/>
      <c r="B7" s="71"/>
      <c r="C7" s="43" t="s">
        <v>2</v>
      </c>
      <c r="D7" s="43" t="s">
        <v>3</v>
      </c>
      <c r="E7" s="43" t="s">
        <v>77</v>
      </c>
      <c r="F7" s="43" t="s">
        <v>78</v>
      </c>
      <c r="G7" s="43" t="s">
        <v>2</v>
      </c>
      <c r="H7" s="43" t="s">
        <v>3</v>
      </c>
      <c r="I7" s="43" t="s">
        <v>77</v>
      </c>
      <c r="J7" s="43" t="s">
        <v>78</v>
      </c>
      <c r="K7" s="43" t="s">
        <v>2</v>
      </c>
      <c r="L7" s="43" t="s">
        <v>3</v>
      </c>
      <c r="M7" s="43" t="s">
        <v>77</v>
      </c>
      <c r="N7" s="43" t="s">
        <v>78</v>
      </c>
      <c r="O7" s="43" t="s">
        <v>2</v>
      </c>
      <c r="P7" s="43" t="s">
        <v>3</v>
      </c>
      <c r="Q7" s="43" t="s">
        <v>77</v>
      </c>
      <c r="R7" s="43" t="s">
        <v>78</v>
      </c>
      <c r="S7" s="43" t="s">
        <v>2</v>
      </c>
      <c r="T7" s="43" t="s">
        <v>3</v>
      </c>
      <c r="U7" s="43" t="s">
        <v>77</v>
      </c>
      <c r="V7" s="43" t="s">
        <v>78</v>
      </c>
      <c r="W7" s="43" t="s">
        <v>2</v>
      </c>
      <c r="X7" s="43" t="s">
        <v>3</v>
      </c>
      <c r="Y7" s="43" t="s">
        <v>77</v>
      </c>
      <c r="Z7" s="43" t="s">
        <v>78</v>
      </c>
      <c r="AA7" s="43" t="s">
        <v>2</v>
      </c>
      <c r="AB7" s="43" t="s">
        <v>3</v>
      </c>
      <c r="AC7" s="43" t="s">
        <v>77</v>
      </c>
      <c r="AD7" s="43" t="s">
        <v>78</v>
      </c>
      <c r="AE7" s="43" t="s">
        <v>2</v>
      </c>
      <c r="AF7" s="43" t="s">
        <v>3</v>
      </c>
      <c r="AG7" s="43" t="s">
        <v>77</v>
      </c>
      <c r="AH7" s="43" t="s">
        <v>78</v>
      </c>
      <c r="AI7" s="70"/>
      <c r="AJ7" s="70"/>
      <c r="AK7" s="70"/>
      <c r="AL7" s="70"/>
    </row>
    <row r="8" spans="1:87" s="52" customFormat="1" ht="21" customHeight="1">
      <c r="A8" s="75">
        <v>1</v>
      </c>
      <c r="B8" s="75"/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  <c r="N8" s="30">
        <v>13</v>
      </c>
      <c r="O8" s="30">
        <v>14</v>
      </c>
      <c r="P8" s="30">
        <v>15</v>
      </c>
      <c r="Q8" s="30">
        <v>16</v>
      </c>
      <c r="R8" s="30">
        <v>17</v>
      </c>
      <c r="S8" s="30">
        <v>18</v>
      </c>
      <c r="T8" s="30">
        <v>19</v>
      </c>
      <c r="U8" s="30">
        <v>20</v>
      </c>
      <c r="V8" s="30">
        <v>21</v>
      </c>
      <c r="W8" s="30">
        <v>22</v>
      </c>
      <c r="X8" s="30">
        <v>23</v>
      </c>
      <c r="Y8" s="30">
        <v>24</v>
      </c>
      <c r="Z8" s="30">
        <v>25</v>
      </c>
      <c r="AA8" s="30">
        <v>26</v>
      </c>
      <c r="AB8" s="30">
        <v>27</v>
      </c>
      <c r="AC8" s="30">
        <v>28</v>
      </c>
      <c r="AD8" s="30">
        <v>29</v>
      </c>
      <c r="AE8" s="30">
        <v>30</v>
      </c>
      <c r="AF8" s="30">
        <v>31</v>
      </c>
      <c r="AG8" s="30">
        <v>32</v>
      </c>
      <c r="AH8" s="30">
        <v>33</v>
      </c>
      <c r="AI8" s="75">
        <v>1</v>
      </c>
      <c r="AJ8" s="75"/>
      <c r="AK8" s="75"/>
      <c r="AL8" s="75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38" s="9" customFormat="1" ht="30" customHeight="1">
      <c r="A9" s="22">
        <v>1</v>
      </c>
      <c r="B9" s="14" t="s">
        <v>64</v>
      </c>
      <c r="C9" s="16">
        <f>C10+C11</f>
        <v>82902</v>
      </c>
      <c r="D9" s="16">
        <f>D10+D11</f>
        <v>444387</v>
      </c>
      <c r="E9" s="16">
        <f>E10+E11</f>
        <v>38137</v>
      </c>
      <c r="F9" s="16">
        <f>F10+F11</f>
        <v>565426</v>
      </c>
      <c r="G9" s="16">
        <f aca="true" t="shared" si="0" ref="G9:V9">G10+G11</f>
        <v>95528</v>
      </c>
      <c r="H9" s="16">
        <f t="shared" si="0"/>
        <v>500151</v>
      </c>
      <c r="I9" s="16">
        <f t="shared" si="0"/>
        <v>42093</v>
      </c>
      <c r="J9" s="16">
        <f t="shared" si="0"/>
        <v>637772</v>
      </c>
      <c r="K9" s="16">
        <f t="shared" si="0"/>
        <v>109355</v>
      </c>
      <c r="L9" s="16">
        <f t="shared" si="0"/>
        <v>565882</v>
      </c>
      <c r="M9" s="16">
        <f t="shared" si="0"/>
        <v>47747</v>
      </c>
      <c r="N9" s="16">
        <f t="shared" si="0"/>
        <v>722984</v>
      </c>
      <c r="O9" s="16">
        <f t="shared" si="0"/>
        <v>126359</v>
      </c>
      <c r="P9" s="16">
        <f t="shared" si="0"/>
        <v>655482</v>
      </c>
      <c r="Q9" s="16">
        <f t="shared" si="0"/>
        <v>54677</v>
      </c>
      <c r="R9" s="16">
        <f t="shared" si="0"/>
        <v>836518</v>
      </c>
      <c r="S9" s="16">
        <f t="shared" si="0"/>
        <v>141049</v>
      </c>
      <c r="T9" s="16">
        <f t="shared" si="0"/>
        <v>738713</v>
      </c>
      <c r="U9" s="16">
        <f t="shared" si="0"/>
        <v>63442</v>
      </c>
      <c r="V9" s="16">
        <f t="shared" si="0"/>
        <v>943204</v>
      </c>
      <c r="W9" s="16">
        <f aca="true" t="shared" si="1" ref="W9:AD9">W10+W11</f>
        <v>163299</v>
      </c>
      <c r="X9" s="16">
        <f t="shared" si="1"/>
        <v>844158</v>
      </c>
      <c r="Y9" s="16">
        <f t="shared" si="1"/>
        <v>76057</v>
      </c>
      <c r="Z9" s="16">
        <f t="shared" si="1"/>
        <v>1083514</v>
      </c>
      <c r="AA9" s="16">
        <f t="shared" si="1"/>
        <v>201415</v>
      </c>
      <c r="AB9" s="16">
        <f t="shared" si="1"/>
        <v>1013154</v>
      </c>
      <c r="AC9" s="16">
        <f t="shared" si="1"/>
        <v>92373</v>
      </c>
      <c r="AD9" s="16">
        <f t="shared" si="1"/>
        <v>1306942</v>
      </c>
      <c r="AE9" s="16">
        <f>AE10+AE11</f>
        <v>224088</v>
      </c>
      <c r="AF9" s="16">
        <f>AF10+AF11</f>
        <v>1140822</v>
      </c>
      <c r="AG9" s="16">
        <f>AG10+AG11</f>
        <v>100843</v>
      </c>
      <c r="AH9" s="16">
        <f>AH10+AH11</f>
        <v>1465753</v>
      </c>
      <c r="AI9" s="16"/>
      <c r="AJ9" s="22">
        <v>1</v>
      </c>
      <c r="AK9" s="17"/>
      <c r="AL9" s="21" t="s">
        <v>65</v>
      </c>
    </row>
    <row r="10" spans="1:38" s="6" customFormat="1" ht="30" customHeight="1">
      <c r="A10" s="29" t="s">
        <v>67</v>
      </c>
      <c r="B10" s="15" t="s">
        <v>26</v>
      </c>
      <c r="C10" s="18">
        <f aca="true" t="shared" si="2" ref="C10:F11">C13+C16+C19</f>
        <v>16178</v>
      </c>
      <c r="D10" s="18">
        <f t="shared" si="2"/>
        <v>10559</v>
      </c>
      <c r="E10" s="18">
        <f>E13+E16+E19</f>
        <v>6251</v>
      </c>
      <c r="F10" s="18">
        <f t="shared" si="2"/>
        <v>32988</v>
      </c>
      <c r="G10" s="18">
        <f aca="true" t="shared" si="3" ref="G10:V10">G13+G16+G19</f>
        <v>18971</v>
      </c>
      <c r="H10" s="18">
        <f t="shared" si="3"/>
        <v>10055</v>
      </c>
      <c r="I10" s="18">
        <f t="shared" si="3"/>
        <v>6824</v>
      </c>
      <c r="J10" s="18">
        <f t="shared" si="3"/>
        <v>35850</v>
      </c>
      <c r="K10" s="18">
        <f t="shared" si="3"/>
        <v>23292</v>
      </c>
      <c r="L10" s="18">
        <f t="shared" si="3"/>
        <v>10626</v>
      </c>
      <c r="M10" s="18">
        <f t="shared" si="3"/>
        <v>7672</v>
      </c>
      <c r="N10" s="18">
        <f t="shared" si="3"/>
        <v>41590</v>
      </c>
      <c r="O10" s="18">
        <f t="shared" si="3"/>
        <v>23663</v>
      </c>
      <c r="P10" s="18">
        <f t="shared" si="3"/>
        <v>12302</v>
      </c>
      <c r="Q10" s="18">
        <f t="shared" si="3"/>
        <v>8418</v>
      </c>
      <c r="R10" s="18">
        <f t="shared" si="3"/>
        <v>44383</v>
      </c>
      <c r="S10" s="18">
        <f t="shared" si="3"/>
        <v>27124</v>
      </c>
      <c r="T10" s="18">
        <f t="shared" si="3"/>
        <v>13838</v>
      </c>
      <c r="U10" s="18">
        <f t="shared" si="3"/>
        <v>9478</v>
      </c>
      <c r="V10" s="18">
        <f t="shared" si="3"/>
        <v>50440</v>
      </c>
      <c r="W10" s="18">
        <f aca="true" t="shared" si="4" ref="W10:Z11">W13+W16+W19</f>
        <v>34134</v>
      </c>
      <c r="X10" s="18">
        <f t="shared" si="4"/>
        <v>16170</v>
      </c>
      <c r="Y10" s="18">
        <f t="shared" si="4"/>
        <v>11021</v>
      </c>
      <c r="Z10" s="18">
        <f t="shared" si="4"/>
        <v>61325</v>
      </c>
      <c r="AA10" s="18">
        <f aca="true" t="shared" si="5" ref="AA10:AD11">AA13+AA16+AA19</f>
        <v>42432</v>
      </c>
      <c r="AB10" s="18">
        <f t="shared" si="5"/>
        <v>17254</v>
      </c>
      <c r="AC10" s="18">
        <f t="shared" si="5"/>
        <v>12402</v>
      </c>
      <c r="AD10" s="18">
        <f t="shared" si="5"/>
        <v>72088</v>
      </c>
      <c r="AE10" s="18">
        <f aca="true" t="shared" si="6" ref="AE10:AH11">AE13+AE16+AE19</f>
        <v>48345</v>
      </c>
      <c r="AF10" s="18">
        <f t="shared" si="6"/>
        <v>21668</v>
      </c>
      <c r="AG10" s="18">
        <f t="shared" si="6"/>
        <v>13856</v>
      </c>
      <c r="AH10" s="18">
        <f t="shared" si="6"/>
        <v>83869</v>
      </c>
      <c r="AI10" s="18"/>
      <c r="AJ10" s="20" t="s">
        <v>4</v>
      </c>
      <c r="AK10" s="19"/>
      <c r="AL10" s="28" t="s">
        <v>6</v>
      </c>
    </row>
    <row r="11" spans="1:38" s="6" customFormat="1" ht="30" customHeight="1">
      <c r="A11" s="29" t="s">
        <v>68</v>
      </c>
      <c r="B11" s="15" t="s">
        <v>27</v>
      </c>
      <c r="C11" s="18">
        <f t="shared" si="2"/>
        <v>66724</v>
      </c>
      <c r="D11" s="18">
        <f t="shared" si="2"/>
        <v>433828</v>
      </c>
      <c r="E11" s="18">
        <f>E14+E17+E20</f>
        <v>31886</v>
      </c>
      <c r="F11" s="18">
        <f t="shared" si="2"/>
        <v>532438</v>
      </c>
      <c r="G11" s="18">
        <f aca="true" t="shared" si="7" ref="G11:V11">G14+G17+G20</f>
        <v>76557</v>
      </c>
      <c r="H11" s="18">
        <f t="shared" si="7"/>
        <v>490096</v>
      </c>
      <c r="I11" s="18">
        <f t="shared" si="7"/>
        <v>35269</v>
      </c>
      <c r="J11" s="18">
        <f t="shared" si="7"/>
        <v>601922</v>
      </c>
      <c r="K11" s="18">
        <f t="shared" si="7"/>
        <v>86063</v>
      </c>
      <c r="L11" s="18">
        <f t="shared" si="7"/>
        <v>555256</v>
      </c>
      <c r="M11" s="18">
        <f t="shared" si="7"/>
        <v>40075</v>
      </c>
      <c r="N11" s="18">
        <f t="shared" si="7"/>
        <v>681394</v>
      </c>
      <c r="O11" s="18">
        <f t="shared" si="7"/>
        <v>102696</v>
      </c>
      <c r="P11" s="18">
        <f t="shared" si="7"/>
        <v>643180</v>
      </c>
      <c r="Q11" s="18">
        <f t="shared" si="7"/>
        <v>46259</v>
      </c>
      <c r="R11" s="18">
        <f t="shared" si="7"/>
        <v>792135</v>
      </c>
      <c r="S11" s="18">
        <f t="shared" si="7"/>
        <v>113925</v>
      </c>
      <c r="T11" s="18">
        <f t="shared" si="7"/>
        <v>724875</v>
      </c>
      <c r="U11" s="18">
        <f t="shared" si="7"/>
        <v>53964</v>
      </c>
      <c r="V11" s="18">
        <f t="shared" si="7"/>
        <v>892764</v>
      </c>
      <c r="W11" s="18">
        <f t="shared" si="4"/>
        <v>129165</v>
      </c>
      <c r="X11" s="18">
        <f t="shared" si="4"/>
        <v>827988</v>
      </c>
      <c r="Y11" s="18">
        <f t="shared" si="4"/>
        <v>65036</v>
      </c>
      <c r="Z11" s="18">
        <f t="shared" si="4"/>
        <v>1022189</v>
      </c>
      <c r="AA11" s="18">
        <f t="shared" si="5"/>
        <v>158983</v>
      </c>
      <c r="AB11" s="18">
        <f t="shared" si="5"/>
        <v>995900</v>
      </c>
      <c r="AC11" s="18">
        <f t="shared" si="5"/>
        <v>79971</v>
      </c>
      <c r="AD11" s="18">
        <f t="shared" si="5"/>
        <v>1234854</v>
      </c>
      <c r="AE11" s="18">
        <f t="shared" si="6"/>
        <v>175743</v>
      </c>
      <c r="AF11" s="18">
        <f t="shared" si="6"/>
        <v>1119154</v>
      </c>
      <c r="AG11" s="18">
        <f t="shared" si="6"/>
        <v>86987</v>
      </c>
      <c r="AH11" s="18">
        <f t="shared" si="6"/>
        <v>1381884</v>
      </c>
      <c r="AI11" s="18"/>
      <c r="AJ11" s="20" t="s">
        <v>5</v>
      </c>
      <c r="AK11" s="19"/>
      <c r="AL11" s="28" t="s">
        <v>7</v>
      </c>
    </row>
    <row r="12" spans="1:38" s="6" customFormat="1" ht="30" customHeight="1">
      <c r="A12" s="19">
        <v>1.1</v>
      </c>
      <c r="B12" s="15" t="s">
        <v>45</v>
      </c>
      <c r="C12" s="18">
        <f>C13+C14</f>
        <v>77172</v>
      </c>
      <c r="D12" s="18">
        <f>D13+D14</f>
        <v>365569</v>
      </c>
      <c r="E12" s="18">
        <f>E13+E14</f>
        <v>33893</v>
      </c>
      <c r="F12" s="18">
        <f>F13+F14</f>
        <v>476634</v>
      </c>
      <c r="G12" s="18">
        <f aca="true" t="shared" si="8" ref="G12:V12">G13+G14</f>
        <v>89163</v>
      </c>
      <c r="H12" s="18">
        <f t="shared" si="8"/>
        <v>410365</v>
      </c>
      <c r="I12" s="18">
        <f t="shared" si="8"/>
        <v>37294</v>
      </c>
      <c r="J12" s="18">
        <f t="shared" si="8"/>
        <v>536822</v>
      </c>
      <c r="K12" s="18">
        <f t="shared" si="8"/>
        <v>101967</v>
      </c>
      <c r="L12" s="18">
        <f t="shared" si="8"/>
        <v>460366</v>
      </c>
      <c r="M12" s="18">
        <f t="shared" si="8"/>
        <v>42339</v>
      </c>
      <c r="N12" s="18">
        <f t="shared" si="8"/>
        <v>604672</v>
      </c>
      <c r="O12" s="18">
        <f t="shared" si="8"/>
        <v>118182</v>
      </c>
      <c r="P12" s="18">
        <f t="shared" si="8"/>
        <v>549692</v>
      </c>
      <c r="Q12" s="18">
        <f t="shared" si="8"/>
        <v>48402</v>
      </c>
      <c r="R12" s="18">
        <f t="shared" si="8"/>
        <v>716276</v>
      </c>
      <c r="S12" s="18">
        <f t="shared" si="8"/>
        <v>131821</v>
      </c>
      <c r="T12" s="18">
        <f t="shared" si="8"/>
        <v>618810</v>
      </c>
      <c r="U12" s="18">
        <f t="shared" si="8"/>
        <v>56015</v>
      </c>
      <c r="V12" s="18">
        <f t="shared" si="8"/>
        <v>806646</v>
      </c>
      <c r="W12" s="18">
        <f aca="true" t="shared" si="9" ref="W12:AD12">W13+W14</f>
        <v>152255</v>
      </c>
      <c r="X12" s="18">
        <f t="shared" si="9"/>
        <v>709212</v>
      </c>
      <c r="Y12" s="18">
        <f t="shared" si="9"/>
        <v>67119</v>
      </c>
      <c r="Z12" s="18">
        <f t="shared" si="9"/>
        <v>928586</v>
      </c>
      <c r="AA12" s="18">
        <f t="shared" si="9"/>
        <v>188660</v>
      </c>
      <c r="AB12" s="18">
        <f t="shared" si="9"/>
        <v>860889</v>
      </c>
      <c r="AC12" s="18">
        <f t="shared" si="9"/>
        <v>82499</v>
      </c>
      <c r="AD12" s="18">
        <f t="shared" si="9"/>
        <v>1132048</v>
      </c>
      <c r="AE12" s="18">
        <f>AE13+AE14</f>
        <v>209445</v>
      </c>
      <c r="AF12" s="18">
        <f>AF13+AF14</f>
        <v>969896</v>
      </c>
      <c r="AG12" s="18">
        <f>AG13+AG14</f>
        <v>88740</v>
      </c>
      <c r="AH12" s="18">
        <f>AH13+AH14</f>
        <v>1268081</v>
      </c>
      <c r="AI12" s="18"/>
      <c r="AJ12" s="19">
        <v>1.1</v>
      </c>
      <c r="AK12" s="20"/>
      <c r="AL12" s="28" t="s">
        <v>8</v>
      </c>
    </row>
    <row r="13" spans="1:38" s="6" customFormat="1" ht="30" customHeight="1">
      <c r="A13" s="29" t="s">
        <v>67</v>
      </c>
      <c r="B13" s="15" t="s">
        <v>26</v>
      </c>
      <c r="C13" s="18">
        <v>13147</v>
      </c>
      <c r="D13" s="18">
        <v>10480</v>
      </c>
      <c r="E13" s="18">
        <v>5444</v>
      </c>
      <c r="F13" s="18">
        <f>+C13+D13+E13</f>
        <v>29071</v>
      </c>
      <c r="G13" s="18">
        <v>15770</v>
      </c>
      <c r="H13" s="18">
        <v>9927</v>
      </c>
      <c r="I13" s="18">
        <v>5929</v>
      </c>
      <c r="J13" s="18">
        <f>+G13+H13+I13</f>
        <v>31626</v>
      </c>
      <c r="K13" s="18">
        <v>19404</v>
      </c>
      <c r="L13" s="18">
        <v>10432</v>
      </c>
      <c r="M13" s="18">
        <v>6699</v>
      </c>
      <c r="N13" s="18">
        <f>+K13+L13+M13</f>
        <v>36535</v>
      </c>
      <c r="O13" s="18">
        <v>19325</v>
      </c>
      <c r="P13" s="18">
        <v>12070</v>
      </c>
      <c r="Q13" s="18">
        <v>7349</v>
      </c>
      <c r="R13" s="18">
        <f>+O13+P13+Q13</f>
        <v>38744</v>
      </c>
      <c r="S13" s="18">
        <v>22206</v>
      </c>
      <c r="T13" s="18">
        <v>13627</v>
      </c>
      <c r="U13" s="18">
        <v>8270</v>
      </c>
      <c r="V13" s="18">
        <f>+S13+T13+U13</f>
        <v>44103</v>
      </c>
      <c r="W13" s="18">
        <v>27959</v>
      </c>
      <c r="X13" s="18">
        <v>16020</v>
      </c>
      <c r="Y13" s="18">
        <v>9685</v>
      </c>
      <c r="Z13" s="18">
        <f>+W13+X13+Y13</f>
        <v>53664</v>
      </c>
      <c r="AA13" s="18">
        <v>35245</v>
      </c>
      <c r="AB13" s="18">
        <v>17040</v>
      </c>
      <c r="AC13" s="18">
        <v>10992</v>
      </c>
      <c r="AD13" s="18">
        <f>+AA13+AB13+AC13</f>
        <v>63277</v>
      </c>
      <c r="AE13" s="18">
        <v>39971</v>
      </c>
      <c r="AF13" s="18">
        <v>21463</v>
      </c>
      <c r="AG13" s="18">
        <v>12235</v>
      </c>
      <c r="AH13" s="18">
        <f>+AE13+AF13+AG13</f>
        <v>73669</v>
      </c>
      <c r="AI13" s="18"/>
      <c r="AJ13" s="20" t="s">
        <v>4</v>
      </c>
      <c r="AK13" s="19"/>
      <c r="AL13" s="28" t="s">
        <v>6</v>
      </c>
    </row>
    <row r="14" spans="1:38" s="6" customFormat="1" ht="30" customHeight="1">
      <c r="A14" s="29" t="s">
        <v>68</v>
      </c>
      <c r="B14" s="15" t="s">
        <v>27</v>
      </c>
      <c r="C14" s="18">
        <v>64025</v>
      </c>
      <c r="D14" s="18">
        <v>355089</v>
      </c>
      <c r="E14" s="18">
        <v>28449</v>
      </c>
      <c r="F14" s="18">
        <f>+C14+D14+E14</f>
        <v>447563</v>
      </c>
      <c r="G14" s="18">
        <v>73393</v>
      </c>
      <c r="H14" s="18">
        <f>400439-1</f>
        <v>400438</v>
      </c>
      <c r="I14" s="18">
        <v>31365</v>
      </c>
      <c r="J14" s="18">
        <f>+G14+H14+I14</f>
        <v>505196</v>
      </c>
      <c r="K14" s="18">
        <v>82563</v>
      </c>
      <c r="L14" s="18">
        <v>449934</v>
      </c>
      <c r="M14" s="18">
        <v>35640</v>
      </c>
      <c r="N14" s="18">
        <f>+K14+L14+M14</f>
        <v>568137</v>
      </c>
      <c r="O14" s="18">
        <v>98857</v>
      </c>
      <c r="P14" s="18">
        <v>537622</v>
      </c>
      <c r="Q14" s="18">
        <v>41053</v>
      </c>
      <c r="R14" s="18">
        <f>+O14+P14+Q14</f>
        <v>677532</v>
      </c>
      <c r="S14" s="18">
        <v>109615</v>
      </c>
      <c r="T14" s="18">
        <v>605183</v>
      </c>
      <c r="U14" s="18">
        <v>47745</v>
      </c>
      <c r="V14" s="18">
        <f>+S14+T14+U14</f>
        <v>762543</v>
      </c>
      <c r="W14" s="18">
        <v>124296</v>
      </c>
      <c r="X14" s="18">
        <v>693192</v>
      </c>
      <c r="Y14" s="18">
        <v>57434</v>
      </c>
      <c r="Z14" s="18">
        <f>+W14+X14+Y14</f>
        <v>874922</v>
      </c>
      <c r="AA14" s="18">
        <v>153415</v>
      </c>
      <c r="AB14" s="18">
        <f>843850-1</f>
        <v>843849</v>
      </c>
      <c r="AC14" s="18">
        <f>71506+1</f>
        <v>71507</v>
      </c>
      <c r="AD14" s="18">
        <f>+AA14+AB14+AC14</f>
        <v>1068771</v>
      </c>
      <c r="AE14" s="18">
        <v>169474</v>
      </c>
      <c r="AF14" s="18">
        <f>948434-1</f>
        <v>948433</v>
      </c>
      <c r="AG14" s="18">
        <v>76505</v>
      </c>
      <c r="AH14" s="18">
        <f>+AE14+AF14+AG14</f>
        <v>1194412</v>
      </c>
      <c r="AI14" s="18"/>
      <c r="AJ14" s="20" t="s">
        <v>5</v>
      </c>
      <c r="AK14" s="19"/>
      <c r="AL14" s="28" t="s">
        <v>7</v>
      </c>
    </row>
    <row r="15" spans="1:38" s="6" customFormat="1" ht="30" customHeight="1">
      <c r="A15" s="19">
        <v>1.2</v>
      </c>
      <c r="B15" s="15" t="s">
        <v>28</v>
      </c>
      <c r="C15" s="18">
        <f>C16+C17</f>
        <v>3014</v>
      </c>
      <c r="D15" s="18">
        <f>D16+D17</f>
        <v>57799</v>
      </c>
      <c r="E15" s="18">
        <f>E16+E17</f>
        <v>827</v>
      </c>
      <c r="F15" s="18">
        <f>F16+F17</f>
        <v>61640</v>
      </c>
      <c r="G15" s="18">
        <f aca="true" t="shared" si="10" ref="G15:V15">G16+G17</f>
        <v>3183</v>
      </c>
      <c r="H15" s="18">
        <f t="shared" si="10"/>
        <v>65149</v>
      </c>
      <c r="I15" s="18">
        <f t="shared" si="10"/>
        <v>919</v>
      </c>
      <c r="J15" s="18">
        <f t="shared" si="10"/>
        <v>69251</v>
      </c>
      <c r="K15" s="18">
        <f t="shared" si="10"/>
        <v>3872</v>
      </c>
      <c r="L15" s="18">
        <f t="shared" si="10"/>
        <v>78262</v>
      </c>
      <c r="M15" s="18">
        <f t="shared" si="10"/>
        <v>996</v>
      </c>
      <c r="N15" s="18">
        <f t="shared" si="10"/>
        <v>83130</v>
      </c>
      <c r="O15" s="18">
        <f t="shared" si="10"/>
        <v>4323</v>
      </c>
      <c r="P15" s="18">
        <f t="shared" si="10"/>
        <v>75893</v>
      </c>
      <c r="Q15" s="18">
        <f t="shared" si="10"/>
        <v>1095</v>
      </c>
      <c r="R15" s="18">
        <f t="shared" si="10"/>
        <v>81311</v>
      </c>
      <c r="S15" s="18">
        <f t="shared" si="10"/>
        <v>4902</v>
      </c>
      <c r="T15" s="18">
        <f t="shared" si="10"/>
        <v>86345</v>
      </c>
      <c r="U15" s="18">
        <f t="shared" si="10"/>
        <v>1238</v>
      </c>
      <c r="V15" s="18">
        <f t="shared" si="10"/>
        <v>92485</v>
      </c>
      <c r="W15" s="18">
        <f aca="true" t="shared" si="11" ref="W15:AD15">W16+W17</f>
        <v>6154</v>
      </c>
      <c r="X15" s="18">
        <f t="shared" si="11"/>
        <v>97035</v>
      </c>
      <c r="Y15" s="18">
        <f t="shared" si="11"/>
        <v>1369</v>
      </c>
      <c r="Z15" s="18">
        <f t="shared" si="11"/>
        <v>104558</v>
      </c>
      <c r="AA15" s="18">
        <f t="shared" si="11"/>
        <v>7165</v>
      </c>
      <c r="AB15" s="18">
        <f t="shared" si="11"/>
        <v>108914</v>
      </c>
      <c r="AC15" s="18">
        <f t="shared" si="11"/>
        <v>1446</v>
      </c>
      <c r="AD15" s="18">
        <f t="shared" si="11"/>
        <v>117525</v>
      </c>
      <c r="AE15" s="18">
        <f>AE16+AE17</f>
        <v>8352</v>
      </c>
      <c r="AF15" s="18">
        <f>AF16+AF17</f>
        <v>122115</v>
      </c>
      <c r="AG15" s="18">
        <f>AG16+AG17</f>
        <v>1664</v>
      </c>
      <c r="AH15" s="18">
        <f>AH16+AH17</f>
        <v>132131</v>
      </c>
      <c r="AI15" s="18"/>
      <c r="AJ15" s="19">
        <v>1.2</v>
      </c>
      <c r="AK15" s="20"/>
      <c r="AL15" s="28" t="s">
        <v>9</v>
      </c>
    </row>
    <row r="16" spans="1:38" s="6" customFormat="1" ht="30" customHeight="1">
      <c r="A16" s="29" t="s">
        <v>67</v>
      </c>
      <c r="B16" s="15" t="s">
        <v>26</v>
      </c>
      <c r="C16" s="18">
        <v>3014</v>
      </c>
      <c r="D16" s="18">
        <f>82</f>
        <v>82</v>
      </c>
      <c r="E16" s="18">
        <f>802+1</f>
        <v>803</v>
      </c>
      <c r="F16" s="18">
        <f>+C16+D16+E16</f>
        <v>3899</v>
      </c>
      <c r="G16" s="18">
        <v>3183</v>
      </c>
      <c r="H16" s="18">
        <v>127</v>
      </c>
      <c r="I16" s="18">
        <v>892</v>
      </c>
      <c r="J16" s="18">
        <f>+G16+H16+I16</f>
        <v>4202</v>
      </c>
      <c r="K16" s="18">
        <v>3872</v>
      </c>
      <c r="L16" s="18">
        <v>199</v>
      </c>
      <c r="M16" s="18">
        <v>967</v>
      </c>
      <c r="N16" s="18">
        <f>+K16+L16+M16</f>
        <v>5038</v>
      </c>
      <c r="O16" s="18">
        <v>4323</v>
      </c>
      <c r="P16" s="18">
        <v>235</v>
      </c>
      <c r="Q16" s="18">
        <v>1065</v>
      </c>
      <c r="R16" s="18">
        <f>+O16+P16+Q16</f>
        <v>5623</v>
      </c>
      <c r="S16" s="18">
        <v>4902</v>
      </c>
      <c r="T16" s="18">
        <v>213</v>
      </c>
      <c r="U16" s="18">
        <v>1203</v>
      </c>
      <c r="V16" s="18">
        <f>+S16+T16+U16</f>
        <v>6318</v>
      </c>
      <c r="W16" s="18">
        <v>6154</v>
      </c>
      <c r="X16" s="18">
        <v>154</v>
      </c>
      <c r="Y16" s="18">
        <v>1330</v>
      </c>
      <c r="Z16" s="18">
        <f>+W16+X16+Y16</f>
        <v>7638</v>
      </c>
      <c r="AA16" s="18">
        <v>7165</v>
      </c>
      <c r="AB16" s="18">
        <v>219</v>
      </c>
      <c r="AC16" s="18">
        <v>1405</v>
      </c>
      <c r="AD16" s="18">
        <f>+AA16+AB16+AC16</f>
        <v>8789</v>
      </c>
      <c r="AE16" s="18">
        <v>8352</v>
      </c>
      <c r="AF16" s="18">
        <v>210</v>
      </c>
      <c r="AG16" s="18">
        <v>1616</v>
      </c>
      <c r="AH16" s="18">
        <f>+AE16+AF16+AG16</f>
        <v>10178</v>
      </c>
      <c r="AI16" s="18"/>
      <c r="AJ16" s="20" t="s">
        <v>4</v>
      </c>
      <c r="AK16" s="19"/>
      <c r="AL16" s="28" t="s">
        <v>6</v>
      </c>
    </row>
    <row r="17" spans="1:38" s="6" customFormat="1" ht="30" customHeight="1">
      <c r="A17" s="29" t="s">
        <v>68</v>
      </c>
      <c r="B17" s="15" t="s">
        <v>27</v>
      </c>
      <c r="C17" s="18">
        <v>0</v>
      </c>
      <c r="D17" s="18">
        <v>57717</v>
      </c>
      <c r="E17" s="18">
        <f>24</f>
        <v>24</v>
      </c>
      <c r="F17" s="18">
        <f>+C17+D17+E17</f>
        <v>57741</v>
      </c>
      <c r="G17" s="18">
        <v>0</v>
      </c>
      <c r="H17" s="18">
        <v>65022</v>
      </c>
      <c r="I17" s="18">
        <v>27</v>
      </c>
      <c r="J17" s="18">
        <f>+G17+H17+I17</f>
        <v>65049</v>
      </c>
      <c r="K17" s="18">
        <v>0</v>
      </c>
      <c r="L17" s="18">
        <v>78063</v>
      </c>
      <c r="M17" s="18">
        <v>29</v>
      </c>
      <c r="N17" s="18">
        <f>+K17+L17+M17</f>
        <v>78092</v>
      </c>
      <c r="O17" s="18">
        <v>0</v>
      </c>
      <c r="P17" s="18">
        <v>75658</v>
      </c>
      <c r="Q17" s="18">
        <v>30</v>
      </c>
      <c r="R17" s="18">
        <f>+O17+P17+Q17</f>
        <v>75688</v>
      </c>
      <c r="S17" s="18">
        <v>0</v>
      </c>
      <c r="T17" s="18">
        <v>86132</v>
      </c>
      <c r="U17" s="18">
        <v>35</v>
      </c>
      <c r="V17" s="18">
        <f>+S17+T17+U17</f>
        <v>86167</v>
      </c>
      <c r="W17" s="18">
        <v>0</v>
      </c>
      <c r="X17" s="18">
        <f>96881</f>
        <v>96881</v>
      </c>
      <c r="Y17" s="18">
        <f>39</f>
        <v>39</v>
      </c>
      <c r="Z17" s="18">
        <f>+W17+X17+Y17</f>
        <v>96920</v>
      </c>
      <c r="AA17" s="18">
        <v>0</v>
      </c>
      <c r="AB17" s="18">
        <v>108695</v>
      </c>
      <c r="AC17" s="18">
        <v>41</v>
      </c>
      <c r="AD17" s="18">
        <f>+AA17+AB17+AC17</f>
        <v>108736</v>
      </c>
      <c r="AE17" s="18">
        <v>0</v>
      </c>
      <c r="AF17" s="18">
        <v>121905</v>
      </c>
      <c r="AG17" s="18">
        <v>48</v>
      </c>
      <c r="AH17" s="18">
        <f>+AE17+AF17+AG17</f>
        <v>121953</v>
      </c>
      <c r="AI17" s="18"/>
      <c r="AJ17" s="20" t="s">
        <v>5</v>
      </c>
      <c r="AK17" s="19"/>
      <c r="AL17" s="28" t="s">
        <v>7</v>
      </c>
    </row>
    <row r="18" spans="1:38" s="6" customFormat="1" ht="30" customHeight="1">
      <c r="A18" s="19">
        <v>1.3</v>
      </c>
      <c r="B18" s="15" t="s">
        <v>29</v>
      </c>
      <c r="C18" s="18">
        <f>C19+C20</f>
        <v>2716</v>
      </c>
      <c r="D18" s="18">
        <f>D19+D20</f>
        <v>21019</v>
      </c>
      <c r="E18" s="18">
        <f>E19+E20</f>
        <v>3417</v>
      </c>
      <c r="F18" s="18">
        <f>F19+F20</f>
        <v>27152</v>
      </c>
      <c r="G18" s="18">
        <f aca="true" t="shared" si="12" ref="G18:V18">G19+G20</f>
        <v>3182</v>
      </c>
      <c r="H18" s="18">
        <f t="shared" si="12"/>
        <v>24637</v>
      </c>
      <c r="I18" s="18">
        <f t="shared" si="12"/>
        <v>3880</v>
      </c>
      <c r="J18" s="18">
        <f t="shared" si="12"/>
        <v>31699</v>
      </c>
      <c r="K18" s="18">
        <f t="shared" si="12"/>
        <v>3516</v>
      </c>
      <c r="L18" s="18">
        <f t="shared" si="12"/>
        <v>27254</v>
      </c>
      <c r="M18" s="18">
        <f t="shared" si="12"/>
        <v>4412</v>
      </c>
      <c r="N18" s="18">
        <f t="shared" si="12"/>
        <v>35182</v>
      </c>
      <c r="O18" s="18">
        <f t="shared" si="12"/>
        <v>3854</v>
      </c>
      <c r="P18" s="18">
        <f t="shared" si="12"/>
        <v>29897</v>
      </c>
      <c r="Q18" s="18">
        <f t="shared" si="12"/>
        <v>5180</v>
      </c>
      <c r="R18" s="18">
        <f t="shared" si="12"/>
        <v>38931</v>
      </c>
      <c r="S18" s="18">
        <f t="shared" si="12"/>
        <v>4326</v>
      </c>
      <c r="T18" s="18">
        <f t="shared" si="12"/>
        <v>33558</v>
      </c>
      <c r="U18" s="18">
        <f t="shared" si="12"/>
        <v>6189</v>
      </c>
      <c r="V18" s="18">
        <f t="shared" si="12"/>
        <v>44073</v>
      </c>
      <c r="W18" s="18">
        <f aca="true" t="shared" si="13" ref="W18:AD18">W19+W20</f>
        <v>4890</v>
      </c>
      <c r="X18" s="18">
        <f t="shared" si="13"/>
        <v>37911</v>
      </c>
      <c r="Y18" s="18">
        <f t="shared" si="13"/>
        <v>7569</v>
      </c>
      <c r="Z18" s="18">
        <f t="shared" si="13"/>
        <v>50370</v>
      </c>
      <c r="AA18" s="18">
        <f t="shared" si="13"/>
        <v>5590</v>
      </c>
      <c r="AB18" s="18">
        <f t="shared" si="13"/>
        <v>43351</v>
      </c>
      <c r="AC18" s="18">
        <f t="shared" si="13"/>
        <v>8428</v>
      </c>
      <c r="AD18" s="18">
        <f t="shared" si="13"/>
        <v>57369</v>
      </c>
      <c r="AE18" s="18">
        <f>AE19+AE20</f>
        <v>6291</v>
      </c>
      <c r="AF18" s="18">
        <f>AF19+AF20</f>
        <v>48811</v>
      </c>
      <c r="AG18" s="18">
        <f>AG19+AG20</f>
        <v>10439</v>
      </c>
      <c r="AH18" s="18">
        <f>AH19+AH20</f>
        <v>65541</v>
      </c>
      <c r="AI18" s="18"/>
      <c r="AJ18" s="19">
        <v>1.3</v>
      </c>
      <c r="AK18" s="20"/>
      <c r="AL18" s="28" t="s">
        <v>10</v>
      </c>
    </row>
    <row r="19" spans="1:38" s="6" customFormat="1" ht="30" customHeight="1">
      <c r="A19" s="29" t="s">
        <v>67</v>
      </c>
      <c r="B19" s="15" t="s">
        <v>26</v>
      </c>
      <c r="C19" s="18">
        <v>17</v>
      </c>
      <c r="D19" s="18">
        <v>-3</v>
      </c>
      <c r="E19" s="18">
        <v>4</v>
      </c>
      <c r="F19" s="18">
        <f>+C19+D19+E19</f>
        <v>18</v>
      </c>
      <c r="G19" s="18">
        <v>18</v>
      </c>
      <c r="H19" s="18">
        <v>1</v>
      </c>
      <c r="I19" s="18">
        <v>3</v>
      </c>
      <c r="J19" s="18">
        <f>+G19+H19+I19</f>
        <v>22</v>
      </c>
      <c r="K19" s="18">
        <v>16</v>
      </c>
      <c r="L19" s="18">
        <v>-5</v>
      </c>
      <c r="M19" s="18">
        <v>6</v>
      </c>
      <c r="N19" s="18">
        <f>+K19+L19+M19</f>
        <v>17</v>
      </c>
      <c r="O19" s="18">
        <v>15</v>
      </c>
      <c r="P19" s="18">
        <v>-3</v>
      </c>
      <c r="Q19" s="18">
        <v>4</v>
      </c>
      <c r="R19" s="18">
        <f>+O19+P19+Q19</f>
        <v>16</v>
      </c>
      <c r="S19" s="18">
        <v>16</v>
      </c>
      <c r="T19" s="18">
        <v>-2</v>
      </c>
      <c r="U19" s="18">
        <v>5</v>
      </c>
      <c r="V19" s="18">
        <f>+S19+T19+U19</f>
        <v>19</v>
      </c>
      <c r="W19" s="18">
        <v>21</v>
      </c>
      <c r="X19" s="18">
        <v>-4</v>
      </c>
      <c r="Y19" s="18">
        <v>6</v>
      </c>
      <c r="Z19" s="18">
        <f>+W19+X19+Y19</f>
        <v>23</v>
      </c>
      <c r="AA19" s="18">
        <v>22</v>
      </c>
      <c r="AB19" s="18">
        <v>-5</v>
      </c>
      <c r="AC19" s="18">
        <v>5</v>
      </c>
      <c r="AD19" s="18">
        <f>+AA19+AB19+AC19</f>
        <v>22</v>
      </c>
      <c r="AE19" s="18">
        <v>22</v>
      </c>
      <c r="AF19" s="18">
        <v>-5</v>
      </c>
      <c r="AG19" s="18">
        <v>5</v>
      </c>
      <c r="AH19" s="18">
        <f>+AE19+AF19+AG19</f>
        <v>22</v>
      </c>
      <c r="AI19" s="18"/>
      <c r="AJ19" s="20" t="s">
        <v>4</v>
      </c>
      <c r="AK19" s="19"/>
      <c r="AL19" s="28" t="s">
        <v>6</v>
      </c>
    </row>
    <row r="20" spans="1:38" s="6" customFormat="1" ht="30" customHeight="1">
      <c r="A20" s="29" t="s">
        <v>68</v>
      </c>
      <c r="B20" s="15" t="s">
        <v>27</v>
      </c>
      <c r="C20" s="18">
        <v>2699</v>
      </c>
      <c r="D20" s="18">
        <v>21022</v>
      </c>
      <c r="E20" s="18">
        <v>3413</v>
      </c>
      <c r="F20" s="18">
        <f>+C20+D20+E20</f>
        <v>27134</v>
      </c>
      <c r="G20" s="18">
        <v>3164</v>
      </c>
      <c r="H20" s="18">
        <v>24636</v>
      </c>
      <c r="I20" s="18">
        <v>3877</v>
      </c>
      <c r="J20" s="18">
        <f>+G20+H20+I20</f>
        <v>31677</v>
      </c>
      <c r="K20" s="18">
        <v>3500</v>
      </c>
      <c r="L20" s="18">
        <v>27259</v>
      </c>
      <c r="M20" s="18">
        <v>4406</v>
      </c>
      <c r="N20" s="18">
        <f>+K20+L20+M20</f>
        <v>35165</v>
      </c>
      <c r="O20" s="18">
        <v>3839</v>
      </c>
      <c r="P20" s="18">
        <v>29900</v>
      </c>
      <c r="Q20" s="18">
        <v>5176</v>
      </c>
      <c r="R20" s="18">
        <f>+O20+P20+Q20</f>
        <v>38915</v>
      </c>
      <c r="S20" s="18">
        <v>4310</v>
      </c>
      <c r="T20" s="18">
        <v>33560</v>
      </c>
      <c r="U20" s="18">
        <v>6184</v>
      </c>
      <c r="V20" s="18">
        <f>+S20+T20+U20</f>
        <v>44054</v>
      </c>
      <c r="W20" s="18">
        <v>4869</v>
      </c>
      <c r="X20" s="18">
        <v>37915</v>
      </c>
      <c r="Y20" s="18">
        <v>7563</v>
      </c>
      <c r="Z20" s="18">
        <f>+W20+X20+Y20</f>
        <v>50347</v>
      </c>
      <c r="AA20" s="18">
        <v>5568</v>
      </c>
      <c r="AB20" s="18">
        <v>43356</v>
      </c>
      <c r="AC20" s="18">
        <v>8423</v>
      </c>
      <c r="AD20" s="18">
        <f>+AA20+AB20+AC20</f>
        <v>57347</v>
      </c>
      <c r="AE20" s="18">
        <v>6269</v>
      </c>
      <c r="AF20" s="18">
        <v>48816</v>
      </c>
      <c r="AG20" s="18">
        <v>10434</v>
      </c>
      <c r="AH20" s="18">
        <f>+AE20+AF20+AG20</f>
        <v>65519</v>
      </c>
      <c r="AI20" s="18"/>
      <c r="AJ20" s="20" t="s">
        <v>5</v>
      </c>
      <c r="AK20" s="19"/>
      <c r="AL20" s="28" t="s">
        <v>7</v>
      </c>
    </row>
    <row r="21" spans="1:38" s="9" customFormat="1" ht="30" customHeight="1">
      <c r="A21" s="22">
        <v>2</v>
      </c>
      <c r="B21" s="14" t="s">
        <v>30</v>
      </c>
      <c r="C21" s="16">
        <f>C22+C23</f>
        <v>24904</v>
      </c>
      <c r="D21" s="16">
        <f>D22+D23</f>
        <v>45560</v>
      </c>
      <c r="E21" s="16">
        <f>E22+E23</f>
        <v>14564</v>
      </c>
      <c r="F21" s="16">
        <f>F22+F23</f>
        <v>85028</v>
      </c>
      <c r="G21" s="16">
        <f aca="true" t="shared" si="14" ref="G21:V21">G22+G23</f>
        <v>24098</v>
      </c>
      <c r="H21" s="16">
        <f t="shared" si="14"/>
        <v>52968</v>
      </c>
      <c r="I21" s="16">
        <f t="shared" si="14"/>
        <v>17396</v>
      </c>
      <c r="J21" s="16">
        <f t="shared" si="14"/>
        <v>94462</v>
      </c>
      <c r="K21" s="16">
        <f t="shared" si="14"/>
        <v>24858</v>
      </c>
      <c r="L21" s="16">
        <f t="shared" si="14"/>
        <v>61658</v>
      </c>
      <c r="M21" s="16">
        <f t="shared" si="14"/>
        <v>20271</v>
      </c>
      <c r="N21" s="16">
        <f t="shared" si="14"/>
        <v>106787</v>
      </c>
      <c r="O21" s="16">
        <f t="shared" si="14"/>
        <v>36302</v>
      </c>
      <c r="P21" s="16">
        <f t="shared" si="14"/>
        <v>64646</v>
      </c>
      <c r="Q21" s="16">
        <f t="shared" si="14"/>
        <v>23864</v>
      </c>
      <c r="R21" s="16">
        <f t="shared" si="14"/>
        <v>124812</v>
      </c>
      <c r="S21" s="16">
        <f t="shared" si="14"/>
        <v>47397</v>
      </c>
      <c r="T21" s="16">
        <f t="shared" si="14"/>
        <v>63921</v>
      </c>
      <c r="U21" s="16">
        <f t="shared" si="14"/>
        <v>28510</v>
      </c>
      <c r="V21" s="16">
        <f t="shared" si="14"/>
        <v>139828</v>
      </c>
      <c r="W21" s="16">
        <f aca="true" t="shared" si="15" ref="W21:AD21">W22+W23</f>
        <v>44305</v>
      </c>
      <c r="X21" s="16">
        <f t="shared" si="15"/>
        <v>78445</v>
      </c>
      <c r="Y21" s="16">
        <f t="shared" si="15"/>
        <v>36554</v>
      </c>
      <c r="Z21" s="16">
        <f t="shared" si="15"/>
        <v>159304</v>
      </c>
      <c r="AA21" s="16">
        <f t="shared" si="15"/>
        <v>52644</v>
      </c>
      <c r="AB21" s="16">
        <f t="shared" si="15"/>
        <v>105007</v>
      </c>
      <c r="AC21" s="16">
        <f t="shared" si="15"/>
        <v>38441</v>
      </c>
      <c r="AD21" s="16">
        <f t="shared" si="15"/>
        <v>196092</v>
      </c>
      <c r="AE21" s="16">
        <f>AE22+AE23</f>
        <v>54050</v>
      </c>
      <c r="AF21" s="16">
        <f>AF22+AF23</f>
        <v>103627</v>
      </c>
      <c r="AG21" s="16">
        <f>AG22+AG23</f>
        <v>43399</v>
      </c>
      <c r="AH21" s="16">
        <f>AH22+AH23</f>
        <v>201076</v>
      </c>
      <c r="AI21" s="16"/>
      <c r="AJ21" s="22">
        <v>2</v>
      </c>
      <c r="AK21" s="17"/>
      <c r="AL21" s="21" t="s">
        <v>11</v>
      </c>
    </row>
    <row r="22" spans="1:38" s="6" customFormat="1" ht="30" customHeight="1">
      <c r="A22" s="29" t="s">
        <v>67</v>
      </c>
      <c r="B22" s="15" t="s">
        <v>26</v>
      </c>
      <c r="C22" s="18">
        <f>20709+1</f>
        <v>20710</v>
      </c>
      <c r="D22" s="18">
        <f>42568</f>
        <v>42568</v>
      </c>
      <c r="E22" s="18">
        <v>14342</v>
      </c>
      <c r="F22" s="18">
        <f>+C22+D22+E22</f>
        <v>77620</v>
      </c>
      <c r="G22" s="18">
        <v>18595</v>
      </c>
      <c r="H22" s="18">
        <f>49043-1</f>
        <v>49042</v>
      </c>
      <c r="I22" s="18">
        <v>17085</v>
      </c>
      <c r="J22" s="18">
        <f>+G22+H22+I22</f>
        <v>84722</v>
      </c>
      <c r="K22" s="18">
        <v>17199</v>
      </c>
      <c r="L22" s="18">
        <v>56195</v>
      </c>
      <c r="M22" s="18">
        <v>19842</v>
      </c>
      <c r="N22" s="18">
        <f>+K22+L22+M22</f>
        <v>93236</v>
      </c>
      <c r="O22" s="18">
        <v>26974</v>
      </c>
      <c r="P22" s="18">
        <v>57992</v>
      </c>
      <c r="Q22" s="18">
        <v>23332</v>
      </c>
      <c r="R22" s="18">
        <f>+O22+P22+Q22</f>
        <v>108298</v>
      </c>
      <c r="S22" s="18">
        <v>37110</v>
      </c>
      <c r="T22" s="18">
        <v>56582</v>
      </c>
      <c r="U22" s="18">
        <v>28030</v>
      </c>
      <c r="V22" s="18">
        <f>+S22+T22+U22</f>
        <v>121722</v>
      </c>
      <c r="W22" s="18">
        <v>32926</v>
      </c>
      <c r="X22" s="18">
        <v>70327</v>
      </c>
      <c r="Y22" s="18">
        <v>36040</v>
      </c>
      <c r="Z22" s="18">
        <f>+W22+X22+Y22</f>
        <v>139293</v>
      </c>
      <c r="AA22" s="18">
        <v>39506</v>
      </c>
      <c r="AB22" s="18">
        <v>95635</v>
      </c>
      <c r="AC22" s="18">
        <v>37908</v>
      </c>
      <c r="AD22" s="18">
        <f>+AA22+AB22+AC22</f>
        <v>173049</v>
      </c>
      <c r="AE22" s="18">
        <v>40217</v>
      </c>
      <c r="AF22" s="18">
        <v>93759</v>
      </c>
      <c r="AG22" s="18">
        <v>42772</v>
      </c>
      <c r="AH22" s="18">
        <f>+AE22+AF22+AG22</f>
        <v>176748</v>
      </c>
      <c r="AI22" s="18"/>
      <c r="AJ22" s="20" t="s">
        <v>4</v>
      </c>
      <c r="AK22" s="19"/>
      <c r="AL22" s="28" t="s">
        <v>6</v>
      </c>
    </row>
    <row r="23" spans="1:38" s="6" customFormat="1" ht="30" customHeight="1">
      <c r="A23" s="29" t="s">
        <v>68</v>
      </c>
      <c r="B23" s="15" t="s">
        <v>27</v>
      </c>
      <c r="C23" s="18">
        <v>4194</v>
      </c>
      <c r="D23" s="18">
        <f>597+2395</f>
        <v>2992</v>
      </c>
      <c r="E23" s="18">
        <v>222</v>
      </c>
      <c r="F23" s="18">
        <f>+C23+D23+E23</f>
        <v>7408</v>
      </c>
      <c r="G23" s="18">
        <v>5503</v>
      </c>
      <c r="H23" s="18">
        <f>783+3143</f>
        <v>3926</v>
      </c>
      <c r="I23" s="18">
        <v>311</v>
      </c>
      <c r="J23" s="18">
        <f>+G23+H23+I23</f>
        <v>9740</v>
      </c>
      <c r="K23" s="18">
        <v>7659</v>
      </c>
      <c r="L23" s="18">
        <f>1090+4374-1</f>
        <v>5463</v>
      </c>
      <c r="M23" s="18">
        <v>429</v>
      </c>
      <c r="N23" s="18">
        <f>+K23+L23+M23</f>
        <v>13551</v>
      </c>
      <c r="O23" s="18">
        <v>9328</v>
      </c>
      <c r="P23" s="18">
        <f>1328+5327-1</f>
        <v>6654</v>
      </c>
      <c r="Q23" s="18">
        <v>532</v>
      </c>
      <c r="R23" s="18">
        <f>+O23+P23+Q23</f>
        <v>16514</v>
      </c>
      <c r="S23" s="18">
        <v>10287</v>
      </c>
      <c r="T23" s="18">
        <f>1464+5874+1</f>
        <v>7339</v>
      </c>
      <c r="U23" s="18">
        <v>480</v>
      </c>
      <c r="V23" s="18">
        <f>+S23+T23+U23</f>
        <v>18106</v>
      </c>
      <c r="W23" s="18">
        <f>11380-1</f>
        <v>11379</v>
      </c>
      <c r="X23" s="18">
        <f>1620+6499-1</f>
        <v>8118</v>
      </c>
      <c r="Y23" s="18">
        <v>514</v>
      </c>
      <c r="Z23" s="18">
        <f>+W23+X23+Y23</f>
        <v>20011</v>
      </c>
      <c r="AA23" s="18">
        <v>13138</v>
      </c>
      <c r="AB23" s="18">
        <f>1870+7502</f>
        <v>9372</v>
      </c>
      <c r="AC23" s="18">
        <v>533</v>
      </c>
      <c r="AD23" s="18">
        <f>+AA23+AB23+AC23</f>
        <v>23043</v>
      </c>
      <c r="AE23" s="18">
        <v>13833</v>
      </c>
      <c r="AF23" s="18">
        <f>1969+7899</f>
        <v>9868</v>
      </c>
      <c r="AG23" s="18">
        <v>627</v>
      </c>
      <c r="AH23" s="18">
        <f>+AE23+AF23+AG23</f>
        <v>24328</v>
      </c>
      <c r="AI23" s="18"/>
      <c r="AJ23" s="20" t="s">
        <v>5</v>
      </c>
      <c r="AK23" s="19"/>
      <c r="AL23" s="28" t="s">
        <v>7</v>
      </c>
    </row>
    <row r="24" spans="1:38" s="9" customFormat="1" ht="30" customHeight="1">
      <c r="A24" s="22">
        <v>3</v>
      </c>
      <c r="B24" s="14" t="s">
        <v>44</v>
      </c>
      <c r="C24" s="16">
        <f>C25+C26</f>
        <v>103496</v>
      </c>
      <c r="D24" s="16">
        <f>D25+D26</f>
        <v>242999</v>
      </c>
      <c r="E24" s="16">
        <f>E25+E26</f>
        <v>106730</v>
      </c>
      <c r="F24" s="16">
        <f>F25+F26</f>
        <v>453225</v>
      </c>
      <c r="G24" s="16">
        <f aca="true" t="shared" si="16" ref="G24:V24">G25+G26</f>
        <v>114668</v>
      </c>
      <c r="H24" s="16">
        <f t="shared" si="16"/>
        <v>284860</v>
      </c>
      <c r="I24" s="16">
        <f t="shared" si="16"/>
        <v>122141</v>
      </c>
      <c r="J24" s="16">
        <f t="shared" si="16"/>
        <v>521669</v>
      </c>
      <c r="K24" s="16">
        <f t="shared" si="16"/>
        <v>136848</v>
      </c>
      <c r="L24" s="16">
        <f t="shared" si="16"/>
        <v>356579</v>
      </c>
      <c r="M24" s="16">
        <f t="shared" si="16"/>
        <v>141401</v>
      </c>
      <c r="N24" s="16">
        <f t="shared" si="16"/>
        <v>634828</v>
      </c>
      <c r="O24" s="16">
        <f t="shared" si="16"/>
        <v>156814</v>
      </c>
      <c r="P24" s="16">
        <f t="shared" si="16"/>
        <v>413251</v>
      </c>
      <c r="Q24" s="16">
        <f t="shared" si="16"/>
        <v>162655</v>
      </c>
      <c r="R24" s="16">
        <f t="shared" si="16"/>
        <v>732720</v>
      </c>
      <c r="S24" s="16">
        <f t="shared" si="16"/>
        <v>187631</v>
      </c>
      <c r="T24" s="16">
        <f t="shared" si="16"/>
        <v>444600</v>
      </c>
      <c r="U24" s="16">
        <f t="shared" si="16"/>
        <v>186091</v>
      </c>
      <c r="V24" s="16">
        <f t="shared" si="16"/>
        <v>818322</v>
      </c>
      <c r="W24" s="16">
        <f aca="true" t="shared" si="17" ref="W24:AD24">W25+W26</f>
        <v>211316</v>
      </c>
      <c r="X24" s="16">
        <f t="shared" si="17"/>
        <v>497821</v>
      </c>
      <c r="Y24" s="16">
        <f t="shared" si="17"/>
        <v>213014</v>
      </c>
      <c r="Z24" s="16">
        <f t="shared" si="17"/>
        <v>922151</v>
      </c>
      <c r="AA24" s="16">
        <f t="shared" si="17"/>
        <v>251934</v>
      </c>
      <c r="AB24" s="16">
        <f t="shared" si="17"/>
        <v>582596</v>
      </c>
      <c r="AC24" s="16">
        <f t="shared" si="17"/>
        <v>246220</v>
      </c>
      <c r="AD24" s="16">
        <f t="shared" si="17"/>
        <v>1080750</v>
      </c>
      <c r="AE24" s="16">
        <f>AE25+AE26</f>
        <v>279071</v>
      </c>
      <c r="AF24" s="16">
        <f>AF25+AF26</f>
        <v>645474</v>
      </c>
      <c r="AG24" s="16">
        <f>AG25+AG26</f>
        <v>277541</v>
      </c>
      <c r="AH24" s="16">
        <f>AH25+AH26</f>
        <v>1202086</v>
      </c>
      <c r="AI24" s="16"/>
      <c r="AJ24" s="22">
        <v>3</v>
      </c>
      <c r="AK24" s="17"/>
      <c r="AL24" s="21" t="s">
        <v>12</v>
      </c>
    </row>
    <row r="25" spans="1:38" s="6" customFormat="1" ht="30" customHeight="1">
      <c r="A25" s="29" t="s">
        <v>67</v>
      </c>
      <c r="B25" s="15" t="s">
        <v>26</v>
      </c>
      <c r="C25" s="18">
        <v>65512</v>
      </c>
      <c r="D25" s="18">
        <v>140332</v>
      </c>
      <c r="E25" s="18">
        <v>86500</v>
      </c>
      <c r="F25" s="18">
        <f>+C25+D25+E25</f>
        <v>292344</v>
      </c>
      <c r="G25" s="18">
        <v>73211</v>
      </c>
      <c r="H25" s="18">
        <v>172804</v>
      </c>
      <c r="I25" s="18">
        <v>99428</v>
      </c>
      <c r="J25" s="18">
        <f>+G25+H25+I25</f>
        <v>345443</v>
      </c>
      <c r="K25" s="18">
        <v>87718</v>
      </c>
      <c r="L25" s="18">
        <v>223781</v>
      </c>
      <c r="M25" s="18">
        <v>115576</v>
      </c>
      <c r="N25" s="18">
        <f>+K25+L25+M25</f>
        <v>427075</v>
      </c>
      <c r="O25" s="18">
        <v>99477</v>
      </c>
      <c r="P25" s="18">
        <v>258271</v>
      </c>
      <c r="Q25" s="18">
        <v>135010</v>
      </c>
      <c r="R25" s="18">
        <f>+O25+P25+Q25</f>
        <v>492758</v>
      </c>
      <c r="S25" s="18">
        <v>126811</v>
      </c>
      <c r="T25" s="18">
        <v>280206</v>
      </c>
      <c r="U25" s="18">
        <v>154443</v>
      </c>
      <c r="V25" s="18">
        <f>+S25+T25+U25</f>
        <v>561460</v>
      </c>
      <c r="W25" s="18">
        <v>145085</v>
      </c>
      <c r="X25" s="18">
        <v>318801</v>
      </c>
      <c r="Y25" s="18">
        <v>177687</v>
      </c>
      <c r="Z25" s="18">
        <f>+W25+X25+Y25</f>
        <v>641573</v>
      </c>
      <c r="AA25" s="18">
        <v>175946</v>
      </c>
      <c r="AB25" s="18">
        <f>377207-1</f>
        <v>377206</v>
      </c>
      <c r="AC25" s="18">
        <v>207498</v>
      </c>
      <c r="AD25" s="18">
        <f>+AA25+AB25+AC25</f>
        <v>760650</v>
      </c>
      <c r="AE25" s="18">
        <v>194685</v>
      </c>
      <c r="AF25" s="18">
        <v>417383</v>
      </c>
      <c r="AG25" s="18">
        <v>236666</v>
      </c>
      <c r="AH25" s="18">
        <f>+AE25+AF25+AG25</f>
        <v>848734</v>
      </c>
      <c r="AI25" s="18"/>
      <c r="AJ25" s="20" t="s">
        <v>4</v>
      </c>
      <c r="AK25" s="19"/>
      <c r="AL25" s="28" t="s">
        <v>6</v>
      </c>
    </row>
    <row r="26" spans="1:38" s="6" customFormat="1" ht="30" customHeight="1">
      <c r="A26" s="29" t="s">
        <v>68</v>
      </c>
      <c r="B26" s="15" t="s">
        <v>27</v>
      </c>
      <c r="C26" s="18">
        <v>37984</v>
      </c>
      <c r="D26" s="18">
        <v>102667</v>
      </c>
      <c r="E26" s="18">
        <v>20230</v>
      </c>
      <c r="F26" s="18">
        <f>+C26+D26+E26</f>
        <v>160881</v>
      </c>
      <c r="G26" s="18">
        <v>41457</v>
      </c>
      <c r="H26" s="18">
        <v>112056</v>
      </c>
      <c r="I26" s="18">
        <v>22713</v>
      </c>
      <c r="J26" s="18">
        <f>+G26+H26+I26</f>
        <v>176226</v>
      </c>
      <c r="K26" s="18">
        <v>49130</v>
      </c>
      <c r="L26" s="18">
        <f>132797+1</f>
        <v>132798</v>
      </c>
      <c r="M26" s="18">
        <v>25825</v>
      </c>
      <c r="N26" s="18">
        <f>+K26+L26+M26</f>
        <v>207753</v>
      </c>
      <c r="O26" s="18">
        <v>57337</v>
      </c>
      <c r="P26" s="18">
        <v>154980</v>
      </c>
      <c r="Q26" s="18">
        <v>27645</v>
      </c>
      <c r="R26" s="18">
        <f>+O26+P26+Q26</f>
        <v>239962</v>
      </c>
      <c r="S26" s="18">
        <v>60820</v>
      </c>
      <c r="T26" s="18">
        <v>164394</v>
      </c>
      <c r="U26" s="18">
        <v>31648</v>
      </c>
      <c r="V26" s="18">
        <f>+S26+T26+U26</f>
        <v>256862</v>
      </c>
      <c r="W26" s="18">
        <v>66231</v>
      </c>
      <c r="X26" s="18">
        <v>179020</v>
      </c>
      <c r="Y26" s="18">
        <v>35327</v>
      </c>
      <c r="Z26" s="18">
        <f>+W26+X26+Y26</f>
        <v>280578</v>
      </c>
      <c r="AA26" s="18">
        <v>75988</v>
      </c>
      <c r="AB26" s="18">
        <v>205390</v>
      </c>
      <c r="AC26" s="18">
        <v>38722</v>
      </c>
      <c r="AD26" s="18">
        <f>+AA26+AB26+AC26</f>
        <v>320100</v>
      </c>
      <c r="AE26" s="18">
        <v>84386</v>
      </c>
      <c r="AF26" s="18">
        <v>228091</v>
      </c>
      <c r="AG26" s="18">
        <v>40875</v>
      </c>
      <c r="AH26" s="18">
        <f>+AE26+AF26+AG26</f>
        <v>353352</v>
      </c>
      <c r="AI26" s="18"/>
      <c r="AJ26" s="20" t="s">
        <v>5</v>
      </c>
      <c r="AK26" s="19"/>
      <c r="AL26" s="28" t="s">
        <v>7</v>
      </c>
    </row>
    <row r="27" spans="1:38" s="9" customFormat="1" ht="30" customHeight="1">
      <c r="A27" s="22">
        <v>4</v>
      </c>
      <c r="B27" s="14" t="s">
        <v>47</v>
      </c>
      <c r="C27" s="16">
        <f>C28+C29</f>
        <v>23905</v>
      </c>
      <c r="D27" s="16">
        <f>D28+D29</f>
        <v>9884</v>
      </c>
      <c r="E27" s="16">
        <f>E28+E29</f>
        <v>28886</v>
      </c>
      <c r="F27" s="16">
        <f>F28+F29</f>
        <v>62675</v>
      </c>
      <c r="G27" s="16">
        <f aca="true" t="shared" si="18" ref="G27:V27">G28+G29</f>
        <v>25953</v>
      </c>
      <c r="H27" s="16">
        <f t="shared" si="18"/>
        <v>10698</v>
      </c>
      <c r="I27" s="16">
        <f t="shared" si="18"/>
        <v>32456</v>
      </c>
      <c r="J27" s="16">
        <f t="shared" si="18"/>
        <v>69107</v>
      </c>
      <c r="K27" s="16">
        <f t="shared" si="18"/>
        <v>29830</v>
      </c>
      <c r="L27" s="16">
        <f t="shared" si="18"/>
        <v>9541</v>
      </c>
      <c r="M27" s="16">
        <f t="shared" si="18"/>
        <v>36782</v>
      </c>
      <c r="N27" s="16">
        <f t="shared" si="18"/>
        <v>76153</v>
      </c>
      <c r="O27" s="16">
        <f t="shared" si="18"/>
        <v>34511</v>
      </c>
      <c r="P27" s="16">
        <f t="shared" si="18"/>
        <v>7658</v>
      </c>
      <c r="Q27" s="16">
        <f t="shared" si="18"/>
        <v>41661</v>
      </c>
      <c r="R27" s="16">
        <f t="shared" si="18"/>
        <v>83830</v>
      </c>
      <c r="S27" s="16">
        <f t="shared" si="18"/>
        <v>47705</v>
      </c>
      <c r="T27" s="16">
        <f t="shared" si="18"/>
        <v>-2415</v>
      </c>
      <c r="U27" s="16">
        <f t="shared" si="18"/>
        <v>45780</v>
      </c>
      <c r="V27" s="16">
        <f t="shared" si="18"/>
        <v>91070</v>
      </c>
      <c r="W27" s="16">
        <f aca="true" t="shared" si="19" ref="W27:AD27">W28+W29</f>
        <v>51806</v>
      </c>
      <c r="X27" s="16">
        <f t="shared" si="19"/>
        <v>8102</v>
      </c>
      <c r="Y27" s="16">
        <f t="shared" si="19"/>
        <v>53976</v>
      </c>
      <c r="Z27" s="16">
        <f t="shared" si="19"/>
        <v>113884</v>
      </c>
      <c r="AA27" s="16">
        <f t="shared" si="19"/>
        <v>59921</v>
      </c>
      <c r="AB27" s="16">
        <f t="shared" si="19"/>
        <v>9768</v>
      </c>
      <c r="AC27" s="16">
        <f t="shared" si="19"/>
        <v>61319</v>
      </c>
      <c r="AD27" s="16">
        <f t="shared" si="19"/>
        <v>131008</v>
      </c>
      <c r="AE27" s="16">
        <f>AE28+AE29</f>
        <v>66605</v>
      </c>
      <c r="AF27" s="16">
        <f>AF28+AF29</f>
        <v>6519</v>
      </c>
      <c r="AG27" s="16">
        <f>AG28+AG29</f>
        <v>71693</v>
      </c>
      <c r="AH27" s="16">
        <f>AH28+AH29</f>
        <v>144817</v>
      </c>
      <c r="AI27" s="16"/>
      <c r="AJ27" s="22">
        <v>4</v>
      </c>
      <c r="AK27" s="17"/>
      <c r="AL27" s="21" t="s">
        <v>13</v>
      </c>
    </row>
    <row r="28" spans="1:38" s="6" customFormat="1" ht="30" customHeight="1">
      <c r="A28" s="29" t="s">
        <v>67</v>
      </c>
      <c r="B28" s="15" t="s">
        <v>26</v>
      </c>
      <c r="C28" s="18">
        <v>23905</v>
      </c>
      <c r="D28" s="18">
        <v>8106</v>
      </c>
      <c r="E28" s="18">
        <v>28699</v>
      </c>
      <c r="F28" s="18">
        <f>+C28+D28+E28</f>
        <v>60710</v>
      </c>
      <c r="G28" s="18">
        <v>25953</v>
      </c>
      <c r="H28" s="18">
        <v>8842</v>
      </c>
      <c r="I28" s="18">
        <v>32260</v>
      </c>
      <c r="J28" s="18">
        <f>+G28+H28+I28</f>
        <v>67055</v>
      </c>
      <c r="K28" s="18">
        <v>29830</v>
      </c>
      <c r="L28" s="18">
        <f>7588-1</f>
        <v>7587</v>
      </c>
      <c r="M28" s="18">
        <v>36579</v>
      </c>
      <c r="N28" s="18">
        <f>+K28+L28+M28</f>
        <v>73996</v>
      </c>
      <c r="O28" s="18">
        <v>34511</v>
      </c>
      <c r="P28" s="18">
        <f>5569+1</f>
        <v>5570</v>
      </c>
      <c r="Q28" s="18">
        <f>41454</f>
        <v>41454</v>
      </c>
      <c r="R28" s="18">
        <f>+O28+P28+Q28</f>
        <v>81535</v>
      </c>
      <c r="S28" s="18">
        <v>47705</v>
      </c>
      <c r="T28" s="18">
        <v>-4711</v>
      </c>
      <c r="U28" s="18">
        <f>45537-1</f>
        <v>45536</v>
      </c>
      <c r="V28" s="18">
        <f>+S28+T28+U28</f>
        <v>88530</v>
      </c>
      <c r="W28" s="18">
        <v>51806</v>
      </c>
      <c r="X28" s="18">
        <v>5599</v>
      </c>
      <c r="Y28" s="18">
        <v>53633</v>
      </c>
      <c r="Z28" s="18">
        <f>+W28+X28+Y28</f>
        <v>111038</v>
      </c>
      <c r="AA28" s="18">
        <v>59921</v>
      </c>
      <c r="AB28" s="18">
        <v>6696</v>
      </c>
      <c r="AC28" s="18">
        <v>60939</v>
      </c>
      <c r="AD28" s="18">
        <f>+AA28+AB28+AC28</f>
        <v>127556</v>
      </c>
      <c r="AE28" s="18">
        <v>66605</v>
      </c>
      <c r="AF28" s="18">
        <v>3197</v>
      </c>
      <c r="AG28" s="18">
        <v>71225</v>
      </c>
      <c r="AH28" s="18">
        <f>+AE28+AF28+AG28</f>
        <v>141027</v>
      </c>
      <c r="AI28" s="18"/>
      <c r="AJ28" s="20" t="s">
        <v>4</v>
      </c>
      <c r="AK28" s="19"/>
      <c r="AL28" s="28" t="s">
        <v>6</v>
      </c>
    </row>
    <row r="29" spans="1:38" s="6" customFormat="1" ht="30" customHeight="1">
      <c r="A29" s="29" t="s">
        <v>68</v>
      </c>
      <c r="B29" s="15" t="s">
        <v>27</v>
      </c>
      <c r="C29" s="18">
        <v>0</v>
      </c>
      <c r="D29" s="18">
        <f>1779-1</f>
        <v>1778</v>
      </c>
      <c r="E29" s="18">
        <v>187</v>
      </c>
      <c r="F29" s="18">
        <f>+C29+D29+E29</f>
        <v>1965</v>
      </c>
      <c r="G29" s="18">
        <v>0</v>
      </c>
      <c r="H29" s="18">
        <v>1856</v>
      </c>
      <c r="I29" s="18">
        <v>196</v>
      </c>
      <c r="J29" s="18">
        <f>+G29+H29+I29</f>
        <v>2052</v>
      </c>
      <c r="K29" s="18">
        <v>0</v>
      </c>
      <c r="L29" s="18">
        <v>1954</v>
      </c>
      <c r="M29" s="18">
        <v>203</v>
      </c>
      <c r="N29" s="18">
        <f>+K29+L29+M29</f>
        <v>2157</v>
      </c>
      <c r="O29" s="18">
        <v>0</v>
      </c>
      <c r="P29" s="18">
        <v>2088</v>
      </c>
      <c r="Q29" s="18">
        <v>207</v>
      </c>
      <c r="R29" s="18">
        <f>+O29+P29+Q29</f>
        <v>2295</v>
      </c>
      <c r="S29" s="18">
        <v>0</v>
      </c>
      <c r="T29" s="18">
        <v>2296</v>
      </c>
      <c r="U29" s="18">
        <f>244</f>
        <v>244</v>
      </c>
      <c r="V29" s="18">
        <f>+S29+T29+U29</f>
        <v>2540</v>
      </c>
      <c r="W29" s="18">
        <v>0</v>
      </c>
      <c r="X29" s="18">
        <v>2503</v>
      </c>
      <c r="Y29" s="18">
        <v>343</v>
      </c>
      <c r="Z29" s="18">
        <f>+W29+X29+Y29</f>
        <v>2846</v>
      </c>
      <c r="AA29" s="18">
        <v>0</v>
      </c>
      <c r="AB29" s="18">
        <v>3072</v>
      </c>
      <c r="AC29" s="18">
        <v>380</v>
      </c>
      <c r="AD29" s="18">
        <f>+AA29+AB29+AC29</f>
        <v>3452</v>
      </c>
      <c r="AE29" s="62">
        <v>0</v>
      </c>
      <c r="AF29" s="18">
        <f>3323-1</f>
        <v>3322</v>
      </c>
      <c r="AG29" s="18">
        <v>468</v>
      </c>
      <c r="AH29" s="18">
        <f>+AE29+AF29+AG29</f>
        <v>3790</v>
      </c>
      <c r="AI29" s="18"/>
      <c r="AJ29" s="20" t="s">
        <v>5</v>
      </c>
      <c r="AK29" s="19"/>
      <c r="AL29" s="28" t="s">
        <v>7</v>
      </c>
    </row>
    <row r="30" spans="1:38" s="9" customFormat="1" ht="30" customHeight="1">
      <c r="A30" s="22">
        <v>5</v>
      </c>
      <c r="B30" s="14" t="s">
        <v>31</v>
      </c>
      <c r="C30" s="63">
        <f>C31+C32</f>
        <v>161822.31792579236</v>
      </c>
      <c r="D30" s="63">
        <f>D31+D32</f>
        <v>56688.79328225971</v>
      </c>
      <c r="E30" s="63">
        <f>E31+E32</f>
        <v>10344</v>
      </c>
      <c r="F30" s="63">
        <f>F31+F32</f>
        <v>228855.11120805205</v>
      </c>
      <c r="G30" s="63">
        <f aca="true" t="shared" si="20" ref="G30:V30">G31+G32</f>
        <v>185811</v>
      </c>
      <c r="H30" s="63">
        <f t="shared" si="20"/>
        <v>70501.56398961629</v>
      </c>
      <c r="I30" s="63">
        <f t="shared" si="20"/>
        <v>12321</v>
      </c>
      <c r="J30" s="63">
        <f t="shared" si="20"/>
        <v>268633.56398961623</v>
      </c>
      <c r="K30" s="63">
        <f t="shared" si="20"/>
        <v>204686.21419047465</v>
      </c>
      <c r="L30" s="63">
        <f t="shared" si="20"/>
        <v>102540.01245430125</v>
      </c>
      <c r="M30" s="63">
        <f t="shared" si="20"/>
        <v>15203</v>
      </c>
      <c r="N30" s="63">
        <f t="shared" si="20"/>
        <v>322429.2266447759</v>
      </c>
      <c r="O30" s="63">
        <f t="shared" si="20"/>
        <v>249322</v>
      </c>
      <c r="P30" s="63">
        <f t="shared" si="20"/>
        <v>120675</v>
      </c>
      <c r="Q30" s="63">
        <f t="shared" si="20"/>
        <v>18911</v>
      </c>
      <c r="R30" s="63">
        <f t="shared" si="20"/>
        <v>388908</v>
      </c>
      <c r="S30" s="63">
        <f t="shared" si="20"/>
        <v>315533</v>
      </c>
      <c r="T30" s="63">
        <f t="shared" si="20"/>
        <v>112603</v>
      </c>
      <c r="U30" s="63">
        <f t="shared" si="20"/>
        <v>22898</v>
      </c>
      <c r="V30" s="63">
        <f t="shared" si="20"/>
        <v>451034</v>
      </c>
      <c r="W30" s="63">
        <f aca="true" t="shared" si="21" ref="W30:AD30">W31+W32</f>
        <v>349297</v>
      </c>
      <c r="X30" s="63">
        <f t="shared" si="21"/>
        <v>124555</v>
      </c>
      <c r="Y30" s="63">
        <f t="shared" si="21"/>
        <v>26606</v>
      </c>
      <c r="Z30" s="63">
        <f t="shared" si="21"/>
        <v>500458</v>
      </c>
      <c r="AA30" s="63">
        <f t="shared" si="21"/>
        <v>406139</v>
      </c>
      <c r="AB30" s="63">
        <f t="shared" si="21"/>
        <v>157636</v>
      </c>
      <c r="AC30" s="63">
        <f t="shared" si="21"/>
        <v>31679</v>
      </c>
      <c r="AD30" s="63">
        <f t="shared" si="21"/>
        <v>595454</v>
      </c>
      <c r="AE30" s="63">
        <f>AE31+AE32</f>
        <v>473700</v>
      </c>
      <c r="AF30" s="63">
        <f>AF31+AF32</f>
        <v>173316</v>
      </c>
      <c r="AG30" s="63">
        <f>AG31+AG32</f>
        <v>38188</v>
      </c>
      <c r="AH30" s="63">
        <f>AH31+AH32</f>
        <v>685204</v>
      </c>
      <c r="AI30" s="16"/>
      <c r="AJ30" s="22">
        <v>5</v>
      </c>
      <c r="AK30" s="17"/>
      <c r="AL30" s="21" t="s">
        <v>14</v>
      </c>
    </row>
    <row r="31" spans="1:38" s="6" customFormat="1" ht="30" customHeight="1">
      <c r="A31" s="29" t="s">
        <v>67</v>
      </c>
      <c r="B31" s="15" t="s">
        <v>26</v>
      </c>
      <c r="C31" s="62">
        <v>46013.5191421172</v>
      </c>
      <c r="D31" s="62">
        <v>30828.79830208693</v>
      </c>
      <c r="E31" s="62">
        <v>6918</v>
      </c>
      <c r="F31" s="62">
        <f>+C31+D31+E31</f>
        <v>83760.31744420412</v>
      </c>
      <c r="G31" s="62">
        <v>69521</v>
      </c>
      <c r="H31" s="62">
        <v>44276.55805910877</v>
      </c>
      <c r="I31" s="62">
        <v>9005</v>
      </c>
      <c r="J31" s="62">
        <f>+G31+H31+I31</f>
        <v>122802.55805910876</v>
      </c>
      <c r="K31" s="62">
        <v>66609.21419047465</v>
      </c>
      <c r="L31" s="62">
        <v>72263.56260224516</v>
      </c>
      <c r="M31" s="62">
        <v>11711</v>
      </c>
      <c r="N31" s="62">
        <f>+K31+L31+M31</f>
        <v>150583.77679271981</v>
      </c>
      <c r="O31" s="62">
        <v>82672</v>
      </c>
      <c r="P31" s="62">
        <v>85603</v>
      </c>
      <c r="Q31" s="62">
        <v>15191</v>
      </c>
      <c r="R31" s="62">
        <f>+O31+P31+Q31</f>
        <v>183466</v>
      </c>
      <c r="S31" s="62">
        <v>86190</v>
      </c>
      <c r="T31" s="62">
        <v>64997</v>
      </c>
      <c r="U31" s="62">
        <v>18914</v>
      </c>
      <c r="V31" s="62">
        <f>+S31+T31+U31</f>
        <v>170101</v>
      </c>
      <c r="W31" s="62">
        <v>104364</v>
      </c>
      <c r="X31" s="62">
        <v>73680</v>
      </c>
      <c r="Y31" s="62">
        <v>22609</v>
      </c>
      <c r="Z31" s="62">
        <f>+W31+X31+Y31</f>
        <v>200653</v>
      </c>
      <c r="AA31" s="62">
        <v>113860</v>
      </c>
      <c r="AB31" s="62">
        <f>98578+1</f>
        <v>98579</v>
      </c>
      <c r="AC31" s="62">
        <v>27293</v>
      </c>
      <c r="AD31" s="62">
        <f>+AA31+AB31+AC31</f>
        <v>239732</v>
      </c>
      <c r="AE31" s="62">
        <v>124993</v>
      </c>
      <c r="AF31" s="62">
        <v>103885</v>
      </c>
      <c r="AG31" s="62">
        <v>32123</v>
      </c>
      <c r="AH31" s="62">
        <f>+AE31+AF31+AG31</f>
        <v>261001</v>
      </c>
      <c r="AI31" s="18"/>
      <c r="AJ31" s="20" t="s">
        <v>4</v>
      </c>
      <c r="AK31" s="19"/>
      <c r="AL31" s="28" t="s">
        <v>6</v>
      </c>
    </row>
    <row r="32" spans="1:38" s="6" customFormat="1" ht="30" customHeight="1">
      <c r="A32" s="29" t="s">
        <v>68</v>
      </c>
      <c r="B32" s="15" t="s">
        <v>27</v>
      </c>
      <c r="C32" s="62">
        <v>115808.79878367516</v>
      </c>
      <c r="D32" s="62">
        <v>25859.994980172778</v>
      </c>
      <c r="E32" s="62">
        <v>3426</v>
      </c>
      <c r="F32" s="62">
        <f>+C32+D32+E32</f>
        <v>145094.79376384793</v>
      </c>
      <c r="G32" s="62">
        <v>116290</v>
      </c>
      <c r="H32" s="62">
        <v>26225.005930507512</v>
      </c>
      <c r="I32" s="62">
        <v>3316</v>
      </c>
      <c r="J32" s="62">
        <f>+G32+H32+I32</f>
        <v>145831.0059305075</v>
      </c>
      <c r="K32" s="62">
        <v>138077</v>
      </c>
      <c r="L32" s="62">
        <v>30276.449852056085</v>
      </c>
      <c r="M32" s="62">
        <v>3492</v>
      </c>
      <c r="N32" s="62">
        <f>+K32+L32+M32</f>
        <v>171845.44985205607</v>
      </c>
      <c r="O32" s="62">
        <v>166650</v>
      </c>
      <c r="P32" s="62">
        <f>35073-1</f>
        <v>35072</v>
      </c>
      <c r="Q32" s="62">
        <v>3720</v>
      </c>
      <c r="R32" s="62">
        <f>+O32+P32+Q32</f>
        <v>205442</v>
      </c>
      <c r="S32" s="62">
        <v>229343</v>
      </c>
      <c r="T32" s="62">
        <f>47605+1</f>
        <v>47606</v>
      </c>
      <c r="U32" s="62">
        <v>3984</v>
      </c>
      <c r="V32" s="62">
        <f>+S32+T32+U32</f>
        <v>280933</v>
      </c>
      <c r="W32" s="62">
        <v>244933</v>
      </c>
      <c r="X32" s="62">
        <v>50875</v>
      </c>
      <c r="Y32" s="62">
        <v>3997</v>
      </c>
      <c r="Z32" s="62">
        <f>+W32+X32+Y32</f>
        <v>299805</v>
      </c>
      <c r="AA32" s="62">
        <v>292279</v>
      </c>
      <c r="AB32" s="62">
        <f>59057</f>
        <v>59057</v>
      </c>
      <c r="AC32" s="62">
        <v>4386</v>
      </c>
      <c r="AD32" s="62">
        <f>+AA32+AB32+AC32</f>
        <v>355722</v>
      </c>
      <c r="AE32" s="62">
        <v>348707</v>
      </c>
      <c r="AF32" s="62">
        <v>69431</v>
      </c>
      <c r="AG32" s="62">
        <v>6065</v>
      </c>
      <c r="AH32" s="62">
        <f>+AE32+AF32+AG32</f>
        <v>424203</v>
      </c>
      <c r="AI32" s="18"/>
      <c r="AJ32" s="20" t="s">
        <v>5</v>
      </c>
      <c r="AK32" s="19"/>
      <c r="AL32" s="28" t="s">
        <v>7</v>
      </c>
    </row>
    <row r="33" spans="1:38" s="9" customFormat="1" ht="30" customHeight="1">
      <c r="A33" s="22">
        <v>6</v>
      </c>
      <c r="B33" s="14" t="s">
        <v>32</v>
      </c>
      <c r="C33" s="16">
        <f aca="true" t="shared" si="22" ref="C33:F35">C36+C39</f>
        <v>85356</v>
      </c>
      <c r="D33" s="16">
        <f t="shared" si="22"/>
        <v>379394</v>
      </c>
      <c r="E33" s="16">
        <f t="shared" si="22"/>
        <v>12553</v>
      </c>
      <c r="F33" s="16">
        <f t="shared" si="22"/>
        <v>477303</v>
      </c>
      <c r="G33" s="16">
        <f aca="true" t="shared" si="23" ref="G33:V33">G36+G39</f>
        <v>93364</v>
      </c>
      <c r="H33" s="16">
        <f t="shared" si="23"/>
        <v>458503</v>
      </c>
      <c r="I33" s="16">
        <f t="shared" si="23"/>
        <v>15062</v>
      </c>
      <c r="J33" s="16">
        <f t="shared" si="23"/>
        <v>566929</v>
      </c>
      <c r="K33" s="16">
        <f t="shared" si="23"/>
        <v>111337</v>
      </c>
      <c r="L33" s="16">
        <f t="shared" si="23"/>
        <v>545894</v>
      </c>
      <c r="M33" s="16">
        <f t="shared" si="23"/>
        <v>18116</v>
      </c>
      <c r="N33" s="16">
        <f t="shared" si="23"/>
        <v>675347</v>
      </c>
      <c r="O33" s="16">
        <f t="shared" si="23"/>
        <v>133276</v>
      </c>
      <c r="P33" s="16">
        <f t="shared" si="23"/>
        <v>628249</v>
      </c>
      <c r="Q33" s="16">
        <f t="shared" si="23"/>
        <v>21722</v>
      </c>
      <c r="R33" s="16">
        <f t="shared" si="23"/>
        <v>783247</v>
      </c>
      <c r="S33" s="16">
        <f t="shared" si="23"/>
        <v>160736</v>
      </c>
      <c r="T33" s="16">
        <f t="shared" si="23"/>
        <v>707794</v>
      </c>
      <c r="U33" s="16">
        <f t="shared" si="23"/>
        <v>26867</v>
      </c>
      <c r="V33" s="16">
        <f t="shared" si="23"/>
        <v>895397</v>
      </c>
      <c r="W33" s="16">
        <f aca="true" t="shared" si="24" ref="W33:Z35">W36+W39</f>
        <v>163566</v>
      </c>
      <c r="X33" s="16">
        <f t="shared" si="24"/>
        <v>815139</v>
      </c>
      <c r="Y33" s="16">
        <f t="shared" si="24"/>
        <v>31527</v>
      </c>
      <c r="Z33" s="16">
        <f t="shared" si="24"/>
        <v>1010232</v>
      </c>
      <c r="AA33" s="16">
        <f aca="true" t="shared" si="25" ref="AA33:AD35">AA36+AA39</f>
        <v>214176</v>
      </c>
      <c r="AB33" s="16">
        <f t="shared" si="25"/>
        <v>993674</v>
      </c>
      <c r="AC33" s="16">
        <f t="shared" si="25"/>
        <v>39115</v>
      </c>
      <c r="AD33" s="16">
        <f t="shared" si="25"/>
        <v>1246965</v>
      </c>
      <c r="AE33" s="16">
        <f aca="true" t="shared" si="26" ref="AE33:AH35">AE36+AE39</f>
        <v>268600</v>
      </c>
      <c r="AF33" s="16">
        <f t="shared" si="26"/>
        <v>1190286</v>
      </c>
      <c r="AG33" s="16">
        <f t="shared" si="26"/>
        <v>48224</v>
      </c>
      <c r="AH33" s="16">
        <f t="shared" si="26"/>
        <v>1507110</v>
      </c>
      <c r="AI33" s="16"/>
      <c r="AJ33" s="22">
        <v>6</v>
      </c>
      <c r="AK33" s="17"/>
      <c r="AL33" s="21" t="s">
        <v>54</v>
      </c>
    </row>
    <row r="34" spans="1:38" s="6" customFormat="1" ht="30" customHeight="1">
      <c r="A34" s="29" t="s">
        <v>67</v>
      </c>
      <c r="B34" s="15" t="s">
        <v>26</v>
      </c>
      <c r="C34" s="18">
        <f t="shared" si="22"/>
        <v>42963</v>
      </c>
      <c r="D34" s="18">
        <f t="shared" si="22"/>
        <v>60283</v>
      </c>
      <c r="E34" s="18">
        <f t="shared" si="22"/>
        <v>5488</v>
      </c>
      <c r="F34" s="18">
        <f t="shared" si="22"/>
        <v>108734</v>
      </c>
      <c r="G34" s="18">
        <f aca="true" t="shared" si="27" ref="G34:V34">G37+G40</f>
        <v>44411</v>
      </c>
      <c r="H34" s="18">
        <f t="shared" si="27"/>
        <v>88779</v>
      </c>
      <c r="I34" s="18">
        <f t="shared" si="27"/>
        <v>6249</v>
      </c>
      <c r="J34" s="18">
        <f t="shared" si="27"/>
        <v>139439</v>
      </c>
      <c r="K34" s="18">
        <f t="shared" si="27"/>
        <v>53784</v>
      </c>
      <c r="L34" s="18">
        <f t="shared" si="27"/>
        <v>109884</v>
      </c>
      <c r="M34" s="18">
        <f t="shared" si="27"/>
        <v>7137</v>
      </c>
      <c r="N34" s="18">
        <f t="shared" si="27"/>
        <v>170805</v>
      </c>
      <c r="O34" s="18">
        <f t="shared" si="27"/>
        <v>67153</v>
      </c>
      <c r="P34" s="18">
        <f t="shared" si="27"/>
        <v>128314</v>
      </c>
      <c r="Q34" s="18">
        <f t="shared" si="27"/>
        <v>8360</v>
      </c>
      <c r="R34" s="18">
        <f t="shared" si="27"/>
        <v>203827</v>
      </c>
      <c r="S34" s="18">
        <f t="shared" si="27"/>
        <v>84315</v>
      </c>
      <c r="T34" s="18">
        <f t="shared" si="27"/>
        <v>133156</v>
      </c>
      <c r="U34" s="18">
        <f t="shared" si="27"/>
        <v>9665</v>
      </c>
      <c r="V34" s="18">
        <f t="shared" si="27"/>
        <v>227136</v>
      </c>
      <c r="W34" s="18">
        <f t="shared" si="24"/>
        <v>76470</v>
      </c>
      <c r="X34" s="18">
        <f t="shared" si="24"/>
        <v>158514</v>
      </c>
      <c r="Y34" s="18">
        <f t="shared" si="24"/>
        <v>10825</v>
      </c>
      <c r="Z34" s="18">
        <f t="shared" si="24"/>
        <v>245809</v>
      </c>
      <c r="AA34" s="18">
        <f t="shared" si="25"/>
        <v>104620</v>
      </c>
      <c r="AB34" s="18">
        <f t="shared" si="25"/>
        <v>167745</v>
      </c>
      <c r="AC34" s="18">
        <f t="shared" si="25"/>
        <v>12722</v>
      </c>
      <c r="AD34" s="18">
        <f t="shared" si="25"/>
        <v>285087</v>
      </c>
      <c r="AE34" s="18">
        <f t="shared" si="26"/>
        <v>141430</v>
      </c>
      <c r="AF34" s="18">
        <f t="shared" si="26"/>
        <v>234715</v>
      </c>
      <c r="AG34" s="18">
        <f t="shared" si="26"/>
        <v>14110</v>
      </c>
      <c r="AH34" s="18">
        <f t="shared" si="26"/>
        <v>390255</v>
      </c>
      <c r="AI34" s="18"/>
      <c r="AJ34" s="20" t="s">
        <v>4</v>
      </c>
      <c r="AK34" s="19"/>
      <c r="AL34" s="28" t="s">
        <v>6</v>
      </c>
    </row>
    <row r="35" spans="1:38" s="6" customFormat="1" ht="30" customHeight="1">
      <c r="A35" s="29" t="s">
        <v>68</v>
      </c>
      <c r="B35" s="15" t="s">
        <v>27</v>
      </c>
      <c r="C35" s="18">
        <f t="shared" si="22"/>
        <v>42393</v>
      </c>
      <c r="D35" s="18">
        <f t="shared" si="22"/>
        <v>319111</v>
      </c>
      <c r="E35" s="18">
        <f t="shared" si="22"/>
        <v>7065</v>
      </c>
      <c r="F35" s="18">
        <f t="shared" si="22"/>
        <v>368569</v>
      </c>
      <c r="G35" s="18">
        <f aca="true" t="shared" si="28" ref="G35:V35">G38+G41</f>
        <v>48953</v>
      </c>
      <c r="H35" s="18">
        <f t="shared" si="28"/>
        <v>369724</v>
      </c>
      <c r="I35" s="18">
        <f t="shared" si="28"/>
        <v>8813</v>
      </c>
      <c r="J35" s="18">
        <f t="shared" si="28"/>
        <v>427490</v>
      </c>
      <c r="K35" s="18">
        <f t="shared" si="28"/>
        <v>57553</v>
      </c>
      <c r="L35" s="18">
        <f t="shared" si="28"/>
        <v>436010</v>
      </c>
      <c r="M35" s="18">
        <f t="shared" si="28"/>
        <v>10979</v>
      </c>
      <c r="N35" s="18">
        <f t="shared" si="28"/>
        <v>504542</v>
      </c>
      <c r="O35" s="18">
        <f t="shared" si="28"/>
        <v>66123</v>
      </c>
      <c r="P35" s="18">
        <f t="shared" si="28"/>
        <v>499935</v>
      </c>
      <c r="Q35" s="18">
        <f t="shared" si="28"/>
        <v>13362</v>
      </c>
      <c r="R35" s="18">
        <f t="shared" si="28"/>
        <v>579420</v>
      </c>
      <c r="S35" s="18">
        <f t="shared" si="28"/>
        <v>76421</v>
      </c>
      <c r="T35" s="18">
        <f t="shared" si="28"/>
        <v>574638</v>
      </c>
      <c r="U35" s="18">
        <f t="shared" si="28"/>
        <v>17202</v>
      </c>
      <c r="V35" s="18">
        <f t="shared" si="28"/>
        <v>668261</v>
      </c>
      <c r="W35" s="18">
        <f t="shared" si="24"/>
        <v>87096</v>
      </c>
      <c r="X35" s="18">
        <f t="shared" si="24"/>
        <v>656625</v>
      </c>
      <c r="Y35" s="18">
        <f t="shared" si="24"/>
        <v>20702</v>
      </c>
      <c r="Z35" s="18">
        <f t="shared" si="24"/>
        <v>764423</v>
      </c>
      <c r="AA35" s="18">
        <f t="shared" si="25"/>
        <v>109556</v>
      </c>
      <c r="AB35" s="18">
        <f t="shared" si="25"/>
        <v>825929</v>
      </c>
      <c r="AC35" s="18">
        <f t="shared" si="25"/>
        <v>26393</v>
      </c>
      <c r="AD35" s="18">
        <f t="shared" si="25"/>
        <v>961878</v>
      </c>
      <c r="AE35" s="18">
        <f t="shared" si="26"/>
        <v>127170</v>
      </c>
      <c r="AF35" s="18">
        <f t="shared" si="26"/>
        <v>955571</v>
      </c>
      <c r="AG35" s="18">
        <f t="shared" si="26"/>
        <v>34114</v>
      </c>
      <c r="AH35" s="18">
        <f t="shared" si="26"/>
        <v>1116855</v>
      </c>
      <c r="AI35" s="18"/>
      <c r="AJ35" s="20" t="s">
        <v>5</v>
      </c>
      <c r="AK35" s="19"/>
      <c r="AL35" s="28" t="s">
        <v>7</v>
      </c>
    </row>
    <row r="36" spans="1:38" s="6" customFormat="1" ht="30" customHeight="1">
      <c r="A36" s="19">
        <v>6.1</v>
      </c>
      <c r="B36" s="15" t="s">
        <v>48</v>
      </c>
      <c r="C36" s="18">
        <f aca="true" t="shared" si="29" ref="C36:V36">C37+C38</f>
        <v>73244</v>
      </c>
      <c r="D36" s="18">
        <f t="shared" si="29"/>
        <v>351350</v>
      </c>
      <c r="E36" s="18">
        <f t="shared" si="29"/>
        <v>9373</v>
      </c>
      <c r="F36" s="18">
        <f t="shared" si="29"/>
        <v>433967</v>
      </c>
      <c r="G36" s="18">
        <f t="shared" si="29"/>
        <v>79962</v>
      </c>
      <c r="H36" s="18">
        <f t="shared" si="29"/>
        <v>421964</v>
      </c>
      <c r="I36" s="18">
        <f t="shared" si="29"/>
        <v>11312</v>
      </c>
      <c r="J36" s="18">
        <f t="shared" si="29"/>
        <v>513238</v>
      </c>
      <c r="K36" s="18">
        <f t="shared" si="29"/>
        <v>95514</v>
      </c>
      <c r="L36" s="18">
        <f t="shared" si="29"/>
        <v>500408</v>
      </c>
      <c r="M36" s="18">
        <f t="shared" si="29"/>
        <v>13701</v>
      </c>
      <c r="N36" s="18">
        <f t="shared" si="29"/>
        <v>609623</v>
      </c>
      <c r="O36" s="18">
        <f t="shared" si="29"/>
        <v>113805</v>
      </c>
      <c r="P36" s="18">
        <f t="shared" si="29"/>
        <v>574839</v>
      </c>
      <c r="Q36" s="18">
        <f t="shared" si="29"/>
        <v>16381</v>
      </c>
      <c r="R36" s="18">
        <f t="shared" si="29"/>
        <v>705025</v>
      </c>
      <c r="S36" s="18">
        <f t="shared" si="29"/>
        <v>138298</v>
      </c>
      <c r="T36" s="18">
        <f t="shared" si="29"/>
        <v>654762</v>
      </c>
      <c r="U36" s="18">
        <f t="shared" si="29"/>
        <v>20443</v>
      </c>
      <c r="V36" s="18">
        <f t="shared" si="29"/>
        <v>813503</v>
      </c>
      <c r="W36" s="18">
        <f aca="true" t="shared" si="30" ref="W36:AD36">W37+W38</f>
        <v>138768</v>
      </c>
      <c r="X36" s="18">
        <f t="shared" si="30"/>
        <v>760123</v>
      </c>
      <c r="Y36" s="18">
        <f t="shared" si="30"/>
        <v>24113</v>
      </c>
      <c r="Z36" s="18">
        <f t="shared" si="30"/>
        <v>923004</v>
      </c>
      <c r="AA36" s="18">
        <f t="shared" si="30"/>
        <v>182975</v>
      </c>
      <c r="AB36" s="18">
        <f t="shared" si="30"/>
        <v>926687</v>
      </c>
      <c r="AC36" s="18">
        <f t="shared" si="30"/>
        <v>30274</v>
      </c>
      <c r="AD36" s="18">
        <f t="shared" si="30"/>
        <v>1139936</v>
      </c>
      <c r="AE36" s="18">
        <f>AE37+AE38</f>
        <v>232283</v>
      </c>
      <c r="AF36" s="18">
        <f>AF37+AF38</f>
        <v>1112828</v>
      </c>
      <c r="AG36" s="18">
        <f>AG37+AG38</f>
        <v>37536</v>
      </c>
      <c r="AH36" s="18">
        <f>AH37+AH38</f>
        <v>1382647</v>
      </c>
      <c r="AI36" s="18"/>
      <c r="AJ36" s="19">
        <v>6.1</v>
      </c>
      <c r="AK36" s="20"/>
      <c r="AL36" s="28" t="s">
        <v>15</v>
      </c>
    </row>
    <row r="37" spans="1:38" s="6" customFormat="1" ht="30" customHeight="1">
      <c r="A37" s="29" t="s">
        <v>67</v>
      </c>
      <c r="B37" s="15" t="s">
        <v>26</v>
      </c>
      <c r="C37" s="18">
        <v>37552</v>
      </c>
      <c r="D37" s="18">
        <v>52224</v>
      </c>
      <c r="E37" s="18">
        <v>2857</v>
      </c>
      <c r="F37" s="18">
        <f>+C37+D37+E37</f>
        <v>92633</v>
      </c>
      <c r="G37" s="18">
        <v>38747</v>
      </c>
      <c r="H37" s="18">
        <f>75337-1</f>
        <v>75336</v>
      </c>
      <c r="I37" s="18">
        <v>3276</v>
      </c>
      <c r="J37" s="18">
        <f>+G37+H37+I37</f>
        <v>117359</v>
      </c>
      <c r="K37" s="18">
        <v>47058</v>
      </c>
      <c r="L37" s="18">
        <v>91556</v>
      </c>
      <c r="M37" s="18">
        <v>3773</v>
      </c>
      <c r="N37" s="18">
        <f>+K37+L37+M37</f>
        <v>142387</v>
      </c>
      <c r="O37" s="18">
        <v>58134</v>
      </c>
      <c r="P37" s="18">
        <v>105960</v>
      </c>
      <c r="Q37" s="18">
        <v>4373</v>
      </c>
      <c r="R37" s="18">
        <f>+O37+P37+Q37</f>
        <v>168467</v>
      </c>
      <c r="S37" s="18">
        <v>73957</v>
      </c>
      <c r="T37" s="18">
        <v>115562</v>
      </c>
      <c r="U37" s="18">
        <v>5075</v>
      </c>
      <c r="V37" s="18">
        <f>+S37+T37+U37</f>
        <v>194594</v>
      </c>
      <c r="W37" s="18">
        <v>65439</v>
      </c>
      <c r="X37" s="18">
        <v>143848</v>
      </c>
      <c r="Y37" s="18">
        <v>5715</v>
      </c>
      <c r="Z37" s="18">
        <f>+W37+X37+Y37</f>
        <v>215002</v>
      </c>
      <c r="AA37" s="18">
        <v>90736</v>
      </c>
      <c r="AB37" s="18">
        <v>151372</v>
      </c>
      <c r="AC37" s="18">
        <v>6938</v>
      </c>
      <c r="AD37" s="18">
        <f>+AA37+AB37+AC37</f>
        <v>249046</v>
      </c>
      <c r="AE37" s="18">
        <f>125214+1</f>
        <v>125215</v>
      </c>
      <c r="AF37" s="18">
        <v>215442</v>
      </c>
      <c r="AG37" s="18">
        <v>7509</v>
      </c>
      <c r="AH37" s="18">
        <f>+AE37+AF37+AG37</f>
        <v>348166</v>
      </c>
      <c r="AI37" s="18"/>
      <c r="AJ37" s="20" t="s">
        <v>4</v>
      </c>
      <c r="AK37" s="19"/>
      <c r="AL37" s="28" t="s">
        <v>6</v>
      </c>
    </row>
    <row r="38" spans="1:38" s="6" customFormat="1" ht="30" customHeight="1">
      <c r="A38" s="29" t="s">
        <v>68</v>
      </c>
      <c r="B38" s="15" t="s">
        <v>27</v>
      </c>
      <c r="C38" s="18">
        <v>35692</v>
      </c>
      <c r="D38" s="18">
        <v>299126</v>
      </c>
      <c r="E38" s="18">
        <v>6516</v>
      </c>
      <c r="F38" s="18">
        <f>+C38+D38+E38</f>
        <v>341334</v>
      </c>
      <c r="G38" s="18">
        <v>41215</v>
      </c>
      <c r="H38" s="18">
        <v>346628</v>
      </c>
      <c r="I38" s="18">
        <v>8036</v>
      </c>
      <c r="J38" s="18">
        <f>+G38+H38+I38</f>
        <v>395879</v>
      </c>
      <c r="K38" s="18">
        <v>48456</v>
      </c>
      <c r="L38" s="18">
        <v>408852</v>
      </c>
      <c r="M38" s="18">
        <f>9929-1</f>
        <v>9928</v>
      </c>
      <c r="N38" s="18">
        <f>+K38+L38+M38</f>
        <v>467236</v>
      </c>
      <c r="O38" s="18">
        <v>55671</v>
      </c>
      <c r="P38" s="18">
        <v>468879</v>
      </c>
      <c r="Q38" s="18">
        <v>12008</v>
      </c>
      <c r="R38" s="18">
        <f>+O38+P38+Q38</f>
        <v>536558</v>
      </c>
      <c r="S38" s="18">
        <v>64341</v>
      </c>
      <c r="T38" s="18">
        <f>539180+20</f>
        <v>539200</v>
      </c>
      <c r="U38" s="18">
        <f>15388-20</f>
        <v>15368</v>
      </c>
      <c r="V38" s="18">
        <f>+S38+T38+U38</f>
        <v>618909</v>
      </c>
      <c r="W38" s="18">
        <v>73329</v>
      </c>
      <c r="X38" s="18">
        <v>616275</v>
      </c>
      <c r="Y38" s="18">
        <v>18398</v>
      </c>
      <c r="Z38" s="18">
        <f>+W38+X38+Y38</f>
        <v>708002</v>
      </c>
      <c r="AA38" s="18">
        <v>92239</v>
      </c>
      <c r="AB38" s="18">
        <v>775315</v>
      </c>
      <c r="AC38" s="18">
        <v>23336</v>
      </c>
      <c r="AD38" s="18">
        <f>+AA38+AB38+AC38</f>
        <v>890890</v>
      </c>
      <c r="AE38" s="18">
        <v>107068</v>
      </c>
      <c r="AF38" s="18">
        <v>897386</v>
      </c>
      <c r="AG38" s="18">
        <v>30027</v>
      </c>
      <c r="AH38" s="18">
        <f>+AE38+AF38+AG38</f>
        <v>1034481</v>
      </c>
      <c r="AI38" s="18"/>
      <c r="AJ38" s="20" t="s">
        <v>5</v>
      </c>
      <c r="AK38" s="19"/>
      <c r="AL38" s="28" t="s">
        <v>7</v>
      </c>
    </row>
    <row r="39" spans="1:38" s="6" customFormat="1" ht="30" customHeight="1">
      <c r="A39" s="19">
        <v>6.2</v>
      </c>
      <c r="B39" s="15" t="s">
        <v>33</v>
      </c>
      <c r="C39" s="18">
        <f aca="true" t="shared" si="31" ref="C39:V39">C40+C41</f>
        <v>12112</v>
      </c>
      <c r="D39" s="18">
        <f t="shared" si="31"/>
        <v>28044</v>
      </c>
      <c r="E39" s="18">
        <f t="shared" si="31"/>
        <v>3180</v>
      </c>
      <c r="F39" s="18">
        <f t="shared" si="31"/>
        <v>43336</v>
      </c>
      <c r="G39" s="18">
        <f t="shared" si="31"/>
        <v>13402</v>
      </c>
      <c r="H39" s="18">
        <f t="shared" si="31"/>
        <v>36539</v>
      </c>
      <c r="I39" s="18">
        <f t="shared" si="31"/>
        <v>3750</v>
      </c>
      <c r="J39" s="18">
        <f t="shared" si="31"/>
        <v>53691</v>
      </c>
      <c r="K39" s="18">
        <f t="shared" si="31"/>
        <v>15823</v>
      </c>
      <c r="L39" s="18">
        <f t="shared" si="31"/>
        <v>45486</v>
      </c>
      <c r="M39" s="18">
        <f t="shared" si="31"/>
        <v>4415</v>
      </c>
      <c r="N39" s="18">
        <f t="shared" si="31"/>
        <v>65724</v>
      </c>
      <c r="O39" s="18">
        <f t="shared" si="31"/>
        <v>19471</v>
      </c>
      <c r="P39" s="18">
        <f t="shared" si="31"/>
        <v>53410</v>
      </c>
      <c r="Q39" s="18">
        <f t="shared" si="31"/>
        <v>5341</v>
      </c>
      <c r="R39" s="18">
        <f t="shared" si="31"/>
        <v>78222</v>
      </c>
      <c r="S39" s="18">
        <f t="shared" si="31"/>
        <v>22438</v>
      </c>
      <c r="T39" s="18">
        <f t="shared" si="31"/>
        <v>53032</v>
      </c>
      <c r="U39" s="18">
        <f t="shared" si="31"/>
        <v>6424</v>
      </c>
      <c r="V39" s="18">
        <f t="shared" si="31"/>
        <v>81894</v>
      </c>
      <c r="W39" s="18">
        <f aca="true" t="shared" si="32" ref="W39:AD39">W40+W41</f>
        <v>24798</v>
      </c>
      <c r="X39" s="18">
        <f t="shared" si="32"/>
        <v>55016</v>
      </c>
      <c r="Y39" s="18">
        <f t="shared" si="32"/>
        <v>7414</v>
      </c>
      <c r="Z39" s="18">
        <f t="shared" si="32"/>
        <v>87228</v>
      </c>
      <c r="AA39" s="18">
        <f t="shared" si="32"/>
        <v>31201</v>
      </c>
      <c r="AB39" s="18">
        <f t="shared" si="32"/>
        <v>66987</v>
      </c>
      <c r="AC39" s="18">
        <f t="shared" si="32"/>
        <v>8841</v>
      </c>
      <c r="AD39" s="18">
        <f t="shared" si="32"/>
        <v>107029</v>
      </c>
      <c r="AE39" s="18">
        <f>AE40+AE41</f>
        <v>36317</v>
      </c>
      <c r="AF39" s="18">
        <f>AF40+AF41</f>
        <v>77458</v>
      </c>
      <c r="AG39" s="18">
        <f>AG40+AG41</f>
        <v>10688</v>
      </c>
      <c r="AH39" s="18">
        <f>AH40+AH41</f>
        <v>124463</v>
      </c>
      <c r="AI39" s="18"/>
      <c r="AJ39" s="19">
        <v>6.2</v>
      </c>
      <c r="AK39" s="20"/>
      <c r="AL39" s="28" t="s">
        <v>16</v>
      </c>
    </row>
    <row r="40" spans="1:38" s="6" customFormat="1" ht="30" customHeight="1">
      <c r="A40" s="29" t="s">
        <v>67</v>
      </c>
      <c r="B40" s="15" t="s">
        <v>26</v>
      </c>
      <c r="C40" s="18">
        <v>5411</v>
      </c>
      <c r="D40" s="18">
        <v>8059</v>
      </c>
      <c r="E40" s="18">
        <v>2631</v>
      </c>
      <c r="F40" s="18">
        <f>+C40+D40+E40</f>
        <v>16101</v>
      </c>
      <c r="G40" s="18">
        <v>5664</v>
      </c>
      <c r="H40" s="18">
        <f>13444-1</f>
        <v>13443</v>
      </c>
      <c r="I40" s="18">
        <v>2973</v>
      </c>
      <c r="J40" s="18">
        <f>+G40+H40+I40</f>
        <v>22080</v>
      </c>
      <c r="K40" s="18">
        <v>6726</v>
      </c>
      <c r="L40" s="18">
        <v>18328</v>
      </c>
      <c r="M40" s="18">
        <v>3364</v>
      </c>
      <c r="N40" s="18">
        <f>+K40+L40+M40</f>
        <v>28418</v>
      </c>
      <c r="O40" s="18">
        <v>9019</v>
      </c>
      <c r="P40" s="18">
        <v>22354</v>
      </c>
      <c r="Q40" s="18">
        <v>3987</v>
      </c>
      <c r="R40" s="18">
        <f>+O40+P40+Q40</f>
        <v>35360</v>
      </c>
      <c r="S40" s="18">
        <v>10358</v>
      </c>
      <c r="T40" s="18">
        <v>17594</v>
      </c>
      <c r="U40" s="18">
        <v>4590</v>
      </c>
      <c r="V40" s="18">
        <f>+S40+T40+U40</f>
        <v>32542</v>
      </c>
      <c r="W40" s="18">
        <v>11031</v>
      </c>
      <c r="X40" s="18">
        <v>14666</v>
      </c>
      <c r="Y40" s="18">
        <v>5110</v>
      </c>
      <c r="Z40" s="18">
        <f>+W40+X40+Y40</f>
        <v>30807</v>
      </c>
      <c r="AA40" s="18">
        <v>13884</v>
      </c>
      <c r="AB40" s="18">
        <v>16373</v>
      </c>
      <c r="AC40" s="18">
        <v>5784</v>
      </c>
      <c r="AD40" s="18">
        <f>+AA40+AB40+AC40</f>
        <v>36041</v>
      </c>
      <c r="AE40" s="18">
        <v>16215</v>
      </c>
      <c r="AF40" s="18">
        <v>19273</v>
      </c>
      <c r="AG40" s="18">
        <v>6601</v>
      </c>
      <c r="AH40" s="18">
        <f>+AE40+AF40+AG40</f>
        <v>42089</v>
      </c>
      <c r="AI40" s="18"/>
      <c r="AJ40" s="20" t="s">
        <v>4</v>
      </c>
      <c r="AK40" s="19"/>
      <c r="AL40" s="28" t="s">
        <v>6</v>
      </c>
    </row>
    <row r="41" spans="1:38" s="55" customFormat="1" ht="30" customHeight="1">
      <c r="A41" s="50" t="s">
        <v>68</v>
      </c>
      <c r="B41" s="31" t="s">
        <v>27</v>
      </c>
      <c r="C41" s="32">
        <v>6701</v>
      </c>
      <c r="D41" s="32">
        <v>19985</v>
      </c>
      <c r="E41" s="32">
        <v>549</v>
      </c>
      <c r="F41" s="32">
        <f>+C41+D41+E41</f>
        <v>27235</v>
      </c>
      <c r="G41" s="32">
        <v>7738</v>
      </c>
      <c r="H41" s="32">
        <v>23096</v>
      </c>
      <c r="I41" s="32">
        <v>777</v>
      </c>
      <c r="J41" s="32">
        <f>+G41+H41+I41</f>
        <v>31611</v>
      </c>
      <c r="K41" s="32">
        <v>9097</v>
      </c>
      <c r="L41" s="32">
        <f>27157+1</f>
        <v>27158</v>
      </c>
      <c r="M41" s="32">
        <v>1051</v>
      </c>
      <c r="N41" s="32">
        <f>+K41+L41+M41</f>
        <v>37306</v>
      </c>
      <c r="O41" s="32">
        <v>10452</v>
      </c>
      <c r="P41" s="32">
        <f>31057-1</f>
        <v>31056</v>
      </c>
      <c r="Q41" s="32">
        <v>1354</v>
      </c>
      <c r="R41" s="32">
        <f>+O41+P41+Q41</f>
        <v>42862</v>
      </c>
      <c r="S41" s="32">
        <v>12080</v>
      </c>
      <c r="T41" s="32">
        <v>35438</v>
      </c>
      <c r="U41" s="32">
        <v>1834</v>
      </c>
      <c r="V41" s="32">
        <f>+S41+T41+U41</f>
        <v>49352</v>
      </c>
      <c r="W41" s="32">
        <v>13767</v>
      </c>
      <c r="X41" s="32">
        <v>40350</v>
      </c>
      <c r="Y41" s="32">
        <v>2304</v>
      </c>
      <c r="Z41" s="32">
        <f>+W41+X41+Y41</f>
        <v>56421</v>
      </c>
      <c r="AA41" s="32">
        <v>17317</v>
      </c>
      <c r="AB41" s="32">
        <v>50614</v>
      </c>
      <c r="AC41" s="32">
        <v>3057</v>
      </c>
      <c r="AD41" s="32">
        <f>+AA41+AB41+AC41</f>
        <v>70988</v>
      </c>
      <c r="AE41" s="32">
        <v>20102</v>
      </c>
      <c r="AF41" s="32">
        <v>58185</v>
      </c>
      <c r="AG41" s="32">
        <v>4087</v>
      </c>
      <c r="AH41" s="32">
        <f>+AE41+AF41+AG41</f>
        <v>82374</v>
      </c>
      <c r="AI41" s="32"/>
      <c r="AJ41" s="47" t="s">
        <v>5</v>
      </c>
      <c r="AK41" s="33"/>
      <c r="AL41" s="34" t="s">
        <v>7</v>
      </c>
    </row>
    <row r="42" spans="1:38" s="6" customFormat="1" ht="21" customHeight="1">
      <c r="A42" s="11"/>
      <c r="B42" s="60"/>
      <c r="C42" s="5"/>
      <c r="D42" s="60"/>
      <c r="E42" s="18"/>
      <c r="F42" s="59"/>
      <c r="G42" s="5"/>
      <c r="H42" s="5"/>
      <c r="I42" s="18"/>
      <c r="J42" s="5"/>
      <c r="K42" s="5"/>
      <c r="L42" s="5"/>
      <c r="M42" s="18"/>
      <c r="N42" s="5"/>
      <c r="O42" s="5"/>
      <c r="P42" s="5"/>
      <c r="Q42" s="18"/>
      <c r="R42" s="5"/>
      <c r="S42" s="5"/>
      <c r="T42" s="5"/>
      <c r="U42" s="1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7"/>
      <c r="AK42" s="7"/>
      <c r="AL42" s="10"/>
    </row>
    <row r="43" spans="1:38" s="25" customFormat="1" ht="21" customHeight="1">
      <c r="A43" s="4"/>
      <c r="B43" s="1"/>
      <c r="D43" s="2"/>
      <c r="E43" s="2"/>
      <c r="F43" s="35"/>
      <c r="G43" s="2"/>
      <c r="H43" s="2"/>
      <c r="I43" s="2"/>
      <c r="J43" s="2"/>
      <c r="K43" s="54" t="s">
        <v>71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  <c r="AK43" s="3"/>
      <c r="AL43" s="51" t="s">
        <v>69</v>
      </c>
    </row>
    <row r="44" spans="1:38" s="44" customFormat="1" ht="30" customHeight="1">
      <c r="A44" s="79" t="s">
        <v>66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8" t="s">
        <v>0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38" s="44" customFormat="1" ht="30" customHeight="1">
      <c r="A45" s="80" t="s">
        <v>46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78" t="s">
        <v>1</v>
      </c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  <row r="46" spans="1:37" s="26" customFormat="1" ht="30" customHeight="1">
      <c r="A46" s="40"/>
      <c r="B46" s="40"/>
      <c r="H46" s="58"/>
      <c r="I46" s="58"/>
      <c r="J46" s="58"/>
      <c r="O46" s="71" t="s">
        <v>43</v>
      </c>
      <c r="P46" s="71"/>
      <c r="Q46" s="71"/>
      <c r="R46" s="71"/>
      <c r="S46" s="69" t="s">
        <v>92</v>
      </c>
      <c r="T46" s="69"/>
      <c r="AI46" s="42"/>
      <c r="AJ46" s="42"/>
      <c r="AK46" s="41"/>
    </row>
    <row r="47" spans="1:38" s="6" customFormat="1" ht="19.5" customHeight="1">
      <c r="A47" s="76" t="s">
        <v>25</v>
      </c>
      <c r="B47" s="76"/>
      <c r="C47" s="74" t="s">
        <v>72</v>
      </c>
      <c r="D47" s="74"/>
      <c r="E47" s="74"/>
      <c r="F47" s="74"/>
      <c r="G47" s="74" t="s">
        <v>73</v>
      </c>
      <c r="H47" s="74"/>
      <c r="I47" s="74"/>
      <c r="J47" s="74"/>
      <c r="K47" s="74" t="s">
        <v>74</v>
      </c>
      <c r="L47" s="74"/>
      <c r="M47" s="74"/>
      <c r="N47" s="74"/>
      <c r="O47" s="74" t="s">
        <v>75</v>
      </c>
      <c r="P47" s="74"/>
      <c r="Q47" s="74"/>
      <c r="R47" s="74"/>
      <c r="S47" s="74" t="s">
        <v>76</v>
      </c>
      <c r="T47" s="74"/>
      <c r="U47" s="74"/>
      <c r="V47" s="74"/>
      <c r="W47" s="74" t="s">
        <v>91</v>
      </c>
      <c r="X47" s="74"/>
      <c r="Y47" s="74"/>
      <c r="Z47" s="74"/>
      <c r="AA47" s="74" t="s">
        <v>93</v>
      </c>
      <c r="AB47" s="74"/>
      <c r="AC47" s="74"/>
      <c r="AD47" s="74"/>
      <c r="AE47" s="74" t="s">
        <v>94</v>
      </c>
      <c r="AF47" s="74"/>
      <c r="AG47" s="74"/>
      <c r="AH47" s="74"/>
      <c r="AI47" s="81" t="s">
        <v>24</v>
      </c>
      <c r="AJ47" s="81"/>
      <c r="AK47" s="81"/>
      <c r="AL47" s="81"/>
    </row>
    <row r="48" spans="1:38" s="6" customFormat="1" ht="19.5" customHeight="1">
      <c r="A48" s="77"/>
      <c r="B48" s="77"/>
      <c r="C48" s="35" t="s">
        <v>70</v>
      </c>
      <c r="D48" s="35" t="s">
        <v>55</v>
      </c>
      <c r="E48" s="59" t="s">
        <v>79</v>
      </c>
      <c r="F48" s="57" t="s">
        <v>81</v>
      </c>
      <c r="G48" s="35" t="s">
        <v>70</v>
      </c>
      <c r="H48" s="35" t="s">
        <v>55</v>
      </c>
      <c r="I48" s="59" t="s">
        <v>79</v>
      </c>
      <c r="J48" s="57" t="s">
        <v>81</v>
      </c>
      <c r="K48" s="35" t="s">
        <v>70</v>
      </c>
      <c r="L48" s="35" t="s">
        <v>55</v>
      </c>
      <c r="M48" s="59" t="s">
        <v>79</v>
      </c>
      <c r="N48" s="57" t="s">
        <v>81</v>
      </c>
      <c r="O48" s="35" t="s">
        <v>70</v>
      </c>
      <c r="P48" s="35" t="s">
        <v>55</v>
      </c>
      <c r="Q48" s="59" t="s">
        <v>79</v>
      </c>
      <c r="R48" s="57" t="s">
        <v>81</v>
      </c>
      <c r="S48" s="35" t="s">
        <v>70</v>
      </c>
      <c r="T48" s="35" t="s">
        <v>55</v>
      </c>
      <c r="U48" s="59" t="s">
        <v>79</v>
      </c>
      <c r="V48" s="57" t="s">
        <v>81</v>
      </c>
      <c r="W48" s="35" t="s">
        <v>70</v>
      </c>
      <c r="X48" s="35" t="s">
        <v>55</v>
      </c>
      <c r="Y48" s="72" t="s">
        <v>86</v>
      </c>
      <c r="Z48" s="57" t="s">
        <v>81</v>
      </c>
      <c r="AA48" s="35" t="s">
        <v>70</v>
      </c>
      <c r="AB48" s="35" t="s">
        <v>55</v>
      </c>
      <c r="AC48" s="72" t="s">
        <v>86</v>
      </c>
      <c r="AD48" s="57" t="s">
        <v>81</v>
      </c>
      <c r="AE48" s="35" t="s">
        <v>70</v>
      </c>
      <c r="AF48" s="35" t="s">
        <v>55</v>
      </c>
      <c r="AG48" s="72" t="s">
        <v>86</v>
      </c>
      <c r="AH48" s="57" t="s">
        <v>81</v>
      </c>
      <c r="AI48" s="82"/>
      <c r="AJ48" s="82"/>
      <c r="AK48" s="82"/>
      <c r="AL48" s="82"/>
    </row>
    <row r="49" spans="1:38" s="6" customFormat="1" ht="33.75" customHeight="1">
      <c r="A49" s="77"/>
      <c r="B49" s="77"/>
      <c r="C49" s="35"/>
      <c r="D49" s="35" t="s">
        <v>56</v>
      </c>
      <c r="E49" s="35" t="s">
        <v>80</v>
      </c>
      <c r="F49" s="24"/>
      <c r="G49" s="35"/>
      <c r="H49" s="35" t="s">
        <v>56</v>
      </c>
      <c r="I49" s="35" t="s">
        <v>80</v>
      </c>
      <c r="J49" s="24"/>
      <c r="K49" s="35"/>
      <c r="L49" s="35" t="s">
        <v>56</v>
      </c>
      <c r="M49" s="35" t="s">
        <v>80</v>
      </c>
      <c r="N49" s="24"/>
      <c r="O49" s="35"/>
      <c r="P49" s="35" t="s">
        <v>56</v>
      </c>
      <c r="Q49" s="35" t="s">
        <v>80</v>
      </c>
      <c r="R49" s="24"/>
      <c r="S49" s="35"/>
      <c r="T49" s="35" t="s">
        <v>56</v>
      </c>
      <c r="U49" s="35" t="s">
        <v>80</v>
      </c>
      <c r="V49" s="24"/>
      <c r="W49" s="35"/>
      <c r="X49" s="35" t="s">
        <v>56</v>
      </c>
      <c r="Y49" s="73"/>
      <c r="Z49" s="24"/>
      <c r="AA49" s="35"/>
      <c r="AB49" s="35" t="s">
        <v>56</v>
      </c>
      <c r="AC49" s="73"/>
      <c r="AD49" s="24"/>
      <c r="AE49" s="35"/>
      <c r="AF49" s="35" t="s">
        <v>56</v>
      </c>
      <c r="AG49" s="73"/>
      <c r="AH49" s="24"/>
      <c r="AI49" s="82"/>
      <c r="AJ49" s="82"/>
      <c r="AK49" s="82"/>
      <c r="AL49" s="82"/>
    </row>
    <row r="50" spans="1:38" s="6" customFormat="1" ht="20.25" customHeight="1">
      <c r="A50" s="71"/>
      <c r="B50" s="71"/>
      <c r="C50" s="43" t="s">
        <v>2</v>
      </c>
      <c r="D50" s="43" t="s">
        <v>3</v>
      </c>
      <c r="E50" s="43" t="s">
        <v>77</v>
      </c>
      <c r="F50" s="43" t="s">
        <v>78</v>
      </c>
      <c r="G50" s="43" t="s">
        <v>2</v>
      </c>
      <c r="H50" s="43" t="s">
        <v>3</v>
      </c>
      <c r="I50" s="43" t="s">
        <v>77</v>
      </c>
      <c r="J50" s="43" t="s">
        <v>78</v>
      </c>
      <c r="K50" s="43" t="s">
        <v>2</v>
      </c>
      <c r="L50" s="43" t="s">
        <v>3</v>
      </c>
      <c r="M50" s="43" t="s">
        <v>77</v>
      </c>
      <c r="N50" s="43" t="s">
        <v>78</v>
      </c>
      <c r="O50" s="43" t="s">
        <v>2</v>
      </c>
      <c r="P50" s="43" t="s">
        <v>3</v>
      </c>
      <c r="Q50" s="43" t="s">
        <v>77</v>
      </c>
      <c r="R50" s="43" t="s">
        <v>78</v>
      </c>
      <c r="S50" s="43" t="s">
        <v>2</v>
      </c>
      <c r="T50" s="43" t="s">
        <v>3</v>
      </c>
      <c r="U50" s="43" t="s">
        <v>77</v>
      </c>
      <c r="V50" s="43" t="s">
        <v>78</v>
      </c>
      <c r="W50" s="43" t="s">
        <v>2</v>
      </c>
      <c r="X50" s="43" t="s">
        <v>3</v>
      </c>
      <c r="Y50" s="43" t="s">
        <v>77</v>
      </c>
      <c r="Z50" s="43" t="s">
        <v>78</v>
      </c>
      <c r="AA50" s="43" t="s">
        <v>2</v>
      </c>
      <c r="AB50" s="43" t="s">
        <v>3</v>
      </c>
      <c r="AC50" s="43" t="s">
        <v>77</v>
      </c>
      <c r="AD50" s="43" t="s">
        <v>78</v>
      </c>
      <c r="AE50" s="43" t="s">
        <v>2</v>
      </c>
      <c r="AF50" s="43" t="s">
        <v>3</v>
      </c>
      <c r="AG50" s="43" t="s">
        <v>77</v>
      </c>
      <c r="AH50" s="43" t="s">
        <v>78</v>
      </c>
      <c r="AI50" s="70"/>
      <c r="AJ50" s="70"/>
      <c r="AK50" s="70"/>
      <c r="AL50" s="70"/>
    </row>
    <row r="51" spans="1:38" s="52" customFormat="1" ht="19.5" customHeight="1">
      <c r="A51" s="75">
        <v>1</v>
      </c>
      <c r="B51" s="75"/>
      <c r="C51" s="30">
        <v>2</v>
      </c>
      <c r="D51" s="30">
        <v>3</v>
      </c>
      <c r="E51" s="30">
        <v>4</v>
      </c>
      <c r="F51" s="30">
        <v>5</v>
      </c>
      <c r="G51" s="30">
        <v>6</v>
      </c>
      <c r="H51" s="30">
        <v>7</v>
      </c>
      <c r="I51" s="30">
        <v>8</v>
      </c>
      <c r="J51" s="30">
        <v>9</v>
      </c>
      <c r="K51" s="30">
        <v>10</v>
      </c>
      <c r="L51" s="30">
        <v>11</v>
      </c>
      <c r="M51" s="30">
        <v>12</v>
      </c>
      <c r="N51" s="30">
        <v>13</v>
      </c>
      <c r="O51" s="30">
        <v>14</v>
      </c>
      <c r="P51" s="30">
        <v>15</v>
      </c>
      <c r="Q51" s="30">
        <v>16</v>
      </c>
      <c r="R51" s="30">
        <v>17</v>
      </c>
      <c r="S51" s="30">
        <v>18</v>
      </c>
      <c r="T51" s="30">
        <v>19</v>
      </c>
      <c r="U51" s="30">
        <v>20</v>
      </c>
      <c r="V51" s="30">
        <v>21</v>
      </c>
      <c r="W51" s="30">
        <v>22</v>
      </c>
      <c r="X51" s="30">
        <v>23</v>
      </c>
      <c r="Y51" s="30">
        <v>24</v>
      </c>
      <c r="Z51" s="30">
        <v>25</v>
      </c>
      <c r="AA51" s="30">
        <v>26</v>
      </c>
      <c r="AB51" s="30">
        <v>27</v>
      </c>
      <c r="AC51" s="30">
        <v>28</v>
      </c>
      <c r="AD51" s="30">
        <v>29</v>
      </c>
      <c r="AE51" s="30">
        <v>30</v>
      </c>
      <c r="AF51" s="30">
        <v>31</v>
      </c>
      <c r="AG51" s="30">
        <v>32</v>
      </c>
      <c r="AH51" s="30">
        <v>33</v>
      </c>
      <c r="AI51" s="75">
        <v>1</v>
      </c>
      <c r="AJ51" s="75"/>
      <c r="AK51" s="75"/>
      <c r="AL51" s="75"/>
    </row>
    <row r="52" spans="1:38" s="9" customFormat="1" ht="30" customHeight="1">
      <c r="A52" s="22">
        <v>7</v>
      </c>
      <c r="B52" s="14" t="s">
        <v>34</v>
      </c>
      <c r="C52" s="16">
        <f aca="true" t="shared" si="33" ref="C52:V52">C53+C54</f>
        <v>72090</v>
      </c>
      <c r="D52" s="16">
        <f t="shared" si="33"/>
        <v>147495</v>
      </c>
      <c r="E52" s="16">
        <f t="shared" si="33"/>
        <v>30832</v>
      </c>
      <c r="F52" s="16">
        <f t="shared" si="33"/>
        <v>250417</v>
      </c>
      <c r="G52" s="16">
        <f t="shared" si="33"/>
        <v>76995</v>
      </c>
      <c r="H52" s="16">
        <f t="shared" si="33"/>
        <v>168779</v>
      </c>
      <c r="I52" s="16">
        <f t="shared" si="33"/>
        <v>33903</v>
      </c>
      <c r="J52" s="16">
        <f t="shared" si="33"/>
        <v>279677</v>
      </c>
      <c r="K52" s="16">
        <f t="shared" si="33"/>
        <v>86665</v>
      </c>
      <c r="L52" s="16">
        <f t="shared" si="33"/>
        <v>199235</v>
      </c>
      <c r="M52" s="16">
        <f t="shared" si="33"/>
        <v>37132</v>
      </c>
      <c r="N52" s="16">
        <f t="shared" si="33"/>
        <v>323032</v>
      </c>
      <c r="O52" s="16">
        <f t="shared" si="33"/>
        <v>98700</v>
      </c>
      <c r="P52" s="16">
        <f t="shared" si="33"/>
        <v>226465</v>
      </c>
      <c r="Q52" s="16">
        <f t="shared" si="33"/>
        <v>41632</v>
      </c>
      <c r="R52" s="16">
        <f t="shared" si="33"/>
        <v>366797</v>
      </c>
      <c r="S52" s="16">
        <f t="shared" si="33"/>
        <v>126373</v>
      </c>
      <c r="T52" s="16">
        <f t="shared" si="33"/>
        <v>238501</v>
      </c>
      <c r="U52" s="16">
        <f t="shared" si="33"/>
        <v>50574</v>
      </c>
      <c r="V52" s="16">
        <f t="shared" si="33"/>
        <v>415448</v>
      </c>
      <c r="W52" s="16">
        <f aca="true" t="shared" si="34" ref="W52:AD52">W53+W54</f>
        <v>161707</v>
      </c>
      <c r="X52" s="16">
        <f t="shared" si="34"/>
        <v>250545</v>
      </c>
      <c r="Y52" s="63">
        <f t="shared" si="34"/>
        <v>59138.614314643484</v>
      </c>
      <c r="Z52" s="63">
        <f t="shared" si="34"/>
        <v>471390.6143146435</v>
      </c>
      <c r="AA52" s="63">
        <f t="shared" si="34"/>
        <v>173274</v>
      </c>
      <c r="AB52" s="63">
        <f t="shared" si="34"/>
        <v>290010</v>
      </c>
      <c r="AC52" s="63">
        <f t="shared" si="34"/>
        <v>64458.91177296515</v>
      </c>
      <c r="AD52" s="63">
        <f t="shared" si="34"/>
        <v>527742.9117729652</v>
      </c>
      <c r="AE52" s="63">
        <f>AE53+AE54</f>
        <v>192647</v>
      </c>
      <c r="AF52" s="63">
        <f>AF53+AF54</f>
        <v>326615</v>
      </c>
      <c r="AG52" s="63">
        <f>AG53+AG54</f>
        <v>76186.58630913045</v>
      </c>
      <c r="AH52" s="63">
        <f>AH53+AH54</f>
        <v>595448.5863091304</v>
      </c>
      <c r="AI52" s="16"/>
      <c r="AJ52" s="22">
        <v>7</v>
      </c>
      <c r="AK52" s="17"/>
      <c r="AL52" s="21" t="s">
        <v>57</v>
      </c>
    </row>
    <row r="53" spans="1:38" s="6" customFormat="1" ht="30" customHeight="1">
      <c r="A53" s="29" t="s">
        <v>67</v>
      </c>
      <c r="B53" s="15" t="s">
        <v>26</v>
      </c>
      <c r="C53" s="18">
        <f aca="true" t="shared" si="35" ref="C53:V53">C56+C58+C61+C64</f>
        <v>49860</v>
      </c>
      <c r="D53" s="18">
        <f t="shared" si="35"/>
        <v>40483</v>
      </c>
      <c r="E53" s="18">
        <f t="shared" si="35"/>
        <v>20695</v>
      </c>
      <c r="F53" s="18">
        <f t="shared" si="35"/>
        <v>111038</v>
      </c>
      <c r="G53" s="18">
        <f t="shared" si="35"/>
        <v>51679</v>
      </c>
      <c r="H53" s="18">
        <f t="shared" si="35"/>
        <v>46071</v>
      </c>
      <c r="I53" s="18">
        <f t="shared" si="35"/>
        <v>21860</v>
      </c>
      <c r="J53" s="18">
        <f t="shared" si="35"/>
        <v>119610</v>
      </c>
      <c r="K53" s="18">
        <f t="shared" si="35"/>
        <v>56914</v>
      </c>
      <c r="L53" s="18">
        <f t="shared" si="35"/>
        <v>54386</v>
      </c>
      <c r="M53" s="18">
        <f t="shared" si="35"/>
        <v>23601</v>
      </c>
      <c r="N53" s="18">
        <f t="shared" si="35"/>
        <v>134901</v>
      </c>
      <c r="O53" s="18">
        <f t="shared" si="35"/>
        <v>64091</v>
      </c>
      <c r="P53" s="18">
        <f t="shared" si="35"/>
        <v>59005</v>
      </c>
      <c r="Q53" s="18">
        <f t="shared" si="35"/>
        <v>27458</v>
      </c>
      <c r="R53" s="18">
        <f t="shared" si="35"/>
        <v>150554</v>
      </c>
      <c r="S53" s="18">
        <f t="shared" si="35"/>
        <v>85520</v>
      </c>
      <c r="T53" s="18">
        <f t="shared" si="35"/>
        <v>46728</v>
      </c>
      <c r="U53" s="18">
        <f t="shared" si="35"/>
        <v>32035</v>
      </c>
      <c r="V53" s="18">
        <f t="shared" si="35"/>
        <v>164283</v>
      </c>
      <c r="W53" s="18">
        <f aca="true" t="shared" si="36" ref="W53:AD53">W56+W58+W61+W64</f>
        <v>111526</v>
      </c>
      <c r="X53" s="18">
        <f t="shared" si="36"/>
        <v>39969</v>
      </c>
      <c r="Y53" s="62">
        <f t="shared" si="36"/>
        <v>35235.614314643484</v>
      </c>
      <c r="Z53" s="62">
        <f t="shared" si="36"/>
        <v>186730.6143146435</v>
      </c>
      <c r="AA53" s="62">
        <f t="shared" si="36"/>
        <v>112347</v>
      </c>
      <c r="AB53" s="62">
        <f t="shared" si="36"/>
        <v>46307</v>
      </c>
      <c r="AC53" s="62">
        <f t="shared" si="36"/>
        <v>35588.91177296515</v>
      </c>
      <c r="AD53" s="62">
        <f t="shared" si="36"/>
        <v>194242.91177296516</v>
      </c>
      <c r="AE53" s="62">
        <f>AE56+AE58+AE61+AE64</f>
        <v>119903</v>
      </c>
      <c r="AF53" s="62">
        <f>AF56+AF58+AF61+AF64</f>
        <v>43187</v>
      </c>
      <c r="AG53" s="18">
        <f>AG56+AG58+AG61+AG64</f>
        <v>41214.58630913044</v>
      </c>
      <c r="AH53" s="18">
        <f>AH56+AH58+AH61+AH64</f>
        <v>204304.58630913045</v>
      </c>
      <c r="AI53" s="18"/>
      <c r="AJ53" s="20" t="s">
        <v>4</v>
      </c>
      <c r="AK53" s="19"/>
      <c r="AL53" s="28" t="s">
        <v>6</v>
      </c>
    </row>
    <row r="54" spans="1:38" s="6" customFormat="1" ht="30" customHeight="1">
      <c r="A54" s="29" t="s">
        <v>68</v>
      </c>
      <c r="B54" s="15" t="s">
        <v>27</v>
      </c>
      <c r="C54" s="18">
        <f aca="true" t="shared" si="37" ref="C54:V54">C59+C62+C65</f>
        <v>22230</v>
      </c>
      <c r="D54" s="18">
        <f t="shared" si="37"/>
        <v>107012</v>
      </c>
      <c r="E54" s="18">
        <f t="shared" si="37"/>
        <v>10137</v>
      </c>
      <c r="F54" s="18">
        <f t="shared" si="37"/>
        <v>139379</v>
      </c>
      <c r="G54" s="18">
        <f t="shared" si="37"/>
        <v>25316</v>
      </c>
      <c r="H54" s="18">
        <f t="shared" si="37"/>
        <v>122708</v>
      </c>
      <c r="I54" s="18">
        <f t="shared" si="37"/>
        <v>12043</v>
      </c>
      <c r="J54" s="18">
        <f t="shared" si="37"/>
        <v>160067</v>
      </c>
      <c r="K54" s="18">
        <f t="shared" si="37"/>
        <v>29751</v>
      </c>
      <c r="L54" s="18">
        <f t="shared" si="37"/>
        <v>144849</v>
      </c>
      <c r="M54" s="18">
        <f t="shared" si="37"/>
        <v>13531</v>
      </c>
      <c r="N54" s="18">
        <f t="shared" si="37"/>
        <v>188131</v>
      </c>
      <c r="O54" s="18">
        <f t="shared" si="37"/>
        <v>34609</v>
      </c>
      <c r="P54" s="18">
        <f t="shared" si="37"/>
        <v>167460</v>
      </c>
      <c r="Q54" s="18">
        <f t="shared" si="37"/>
        <v>14174</v>
      </c>
      <c r="R54" s="18">
        <f t="shared" si="37"/>
        <v>216243</v>
      </c>
      <c r="S54" s="18">
        <f t="shared" si="37"/>
        <v>40853</v>
      </c>
      <c r="T54" s="18">
        <f t="shared" si="37"/>
        <v>191773</v>
      </c>
      <c r="U54" s="18">
        <f t="shared" si="37"/>
        <v>18539</v>
      </c>
      <c r="V54" s="18">
        <f t="shared" si="37"/>
        <v>251165</v>
      </c>
      <c r="W54" s="18">
        <f aca="true" t="shared" si="38" ref="W54:AD54">W59+W62+W65</f>
        <v>50181</v>
      </c>
      <c r="X54" s="18">
        <f t="shared" si="38"/>
        <v>210576</v>
      </c>
      <c r="Y54" s="62">
        <f t="shared" si="38"/>
        <v>23903</v>
      </c>
      <c r="Z54" s="62">
        <f t="shared" si="38"/>
        <v>284660</v>
      </c>
      <c r="AA54" s="62">
        <f t="shared" si="38"/>
        <v>60927</v>
      </c>
      <c r="AB54" s="62">
        <f t="shared" si="38"/>
        <v>243703</v>
      </c>
      <c r="AC54" s="62">
        <f t="shared" si="38"/>
        <v>28870</v>
      </c>
      <c r="AD54" s="62">
        <f t="shared" si="38"/>
        <v>333500</v>
      </c>
      <c r="AE54" s="62">
        <f>AE59+AE62+AE65</f>
        <v>72744</v>
      </c>
      <c r="AF54" s="62">
        <f>AF59+AF62+AF65</f>
        <v>283428</v>
      </c>
      <c r="AG54" s="18">
        <f>AG59+AG62+AG65</f>
        <v>34972</v>
      </c>
      <c r="AH54" s="18">
        <f>AH59+AH62+AH65</f>
        <v>391144</v>
      </c>
      <c r="AI54" s="18"/>
      <c r="AJ54" s="20" t="s">
        <v>5</v>
      </c>
      <c r="AK54" s="19"/>
      <c r="AL54" s="28" t="s">
        <v>7</v>
      </c>
    </row>
    <row r="55" spans="1:38" s="6" customFormat="1" ht="30" customHeight="1">
      <c r="A55" s="19">
        <v>7.1</v>
      </c>
      <c r="B55" s="15" t="s">
        <v>35</v>
      </c>
      <c r="C55" s="18">
        <f aca="true" t="shared" si="39" ref="C55:AH55">C56</f>
        <v>16322</v>
      </c>
      <c r="D55" s="18">
        <f t="shared" si="39"/>
        <v>5374</v>
      </c>
      <c r="E55" s="18">
        <f t="shared" si="39"/>
        <v>7466</v>
      </c>
      <c r="F55" s="18">
        <f t="shared" si="39"/>
        <v>29162</v>
      </c>
      <c r="G55" s="18">
        <f t="shared" si="39"/>
        <v>16947</v>
      </c>
      <c r="H55" s="18">
        <f t="shared" si="39"/>
        <v>5968</v>
      </c>
      <c r="I55" s="18">
        <f t="shared" si="39"/>
        <v>7856</v>
      </c>
      <c r="J55" s="18">
        <f t="shared" si="39"/>
        <v>30771</v>
      </c>
      <c r="K55" s="18">
        <f t="shared" si="39"/>
        <v>17840</v>
      </c>
      <c r="L55" s="18">
        <f t="shared" si="39"/>
        <v>10689</v>
      </c>
      <c r="M55" s="18">
        <f t="shared" si="39"/>
        <v>8900</v>
      </c>
      <c r="N55" s="18">
        <f t="shared" si="39"/>
        <v>37429</v>
      </c>
      <c r="O55" s="18">
        <f t="shared" si="39"/>
        <v>19499</v>
      </c>
      <c r="P55" s="18">
        <f t="shared" si="39"/>
        <v>14645</v>
      </c>
      <c r="Q55" s="18">
        <f t="shared" si="39"/>
        <v>9464</v>
      </c>
      <c r="R55" s="18">
        <f t="shared" si="39"/>
        <v>43608</v>
      </c>
      <c r="S55" s="18">
        <f t="shared" si="39"/>
        <v>30120</v>
      </c>
      <c r="T55" s="18">
        <f t="shared" si="39"/>
        <v>6278</v>
      </c>
      <c r="U55" s="18">
        <f t="shared" si="39"/>
        <v>11080</v>
      </c>
      <c r="V55" s="18">
        <f t="shared" si="39"/>
        <v>47478</v>
      </c>
      <c r="W55" s="18">
        <f t="shared" si="39"/>
        <v>39480</v>
      </c>
      <c r="X55" s="18">
        <f t="shared" si="39"/>
        <v>4823</v>
      </c>
      <c r="Y55" s="62">
        <f t="shared" si="39"/>
        <v>11268</v>
      </c>
      <c r="Z55" s="62">
        <f t="shared" si="39"/>
        <v>55571</v>
      </c>
      <c r="AA55" s="62">
        <f t="shared" si="39"/>
        <v>37699</v>
      </c>
      <c r="AB55" s="62">
        <f t="shared" si="39"/>
        <v>5199</v>
      </c>
      <c r="AC55" s="62">
        <f t="shared" si="39"/>
        <v>12782</v>
      </c>
      <c r="AD55" s="62">
        <f t="shared" si="39"/>
        <v>55680</v>
      </c>
      <c r="AE55" s="62">
        <f t="shared" si="39"/>
        <v>40582</v>
      </c>
      <c r="AF55" s="62">
        <f t="shared" si="39"/>
        <v>5889</v>
      </c>
      <c r="AG55" s="18">
        <f t="shared" si="39"/>
        <v>14005</v>
      </c>
      <c r="AH55" s="18">
        <f t="shared" si="39"/>
        <v>60476</v>
      </c>
      <c r="AI55" s="18"/>
      <c r="AJ55" s="19">
        <v>7.1</v>
      </c>
      <c r="AK55" s="20"/>
      <c r="AL55" s="28" t="s">
        <v>17</v>
      </c>
    </row>
    <row r="56" spans="1:38" s="6" customFormat="1" ht="30" customHeight="1">
      <c r="A56" s="29" t="s">
        <v>67</v>
      </c>
      <c r="B56" s="15" t="s">
        <v>26</v>
      </c>
      <c r="C56" s="18">
        <v>16322</v>
      </c>
      <c r="D56" s="18">
        <v>5374</v>
      </c>
      <c r="E56" s="18">
        <v>7466</v>
      </c>
      <c r="F56" s="18">
        <f>+C56+D56+E56</f>
        <v>29162</v>
      </c>
      <c r="G56" s="18">
        <v>16947</v>
      </c>
      <c r="H56" s="18">
        <v>5968</v>
      </c>
      <c r="I56" s="18">
        <v>7856</v>
      </c>
      <c r="J56" s="18">
        <f>+G56+H56+I56</f>
        <v>30771</v>
      </c>
      <c r="K56" s="18">
        <v>17840</v>
      </c>
      <c r="L56" s="18">
        <f>10690-1</f>
        <v>10689</v>
      </c>
      <c r="M56" s="18">
        <f>8899+1</f>
        <v>8900</v>
      </c>
      <c r="N56" s="18">
        <f>+K56+L56+M56</f>
        <v>37429</v>
      </c>
      <c r="O56" s="18">
        <v>19499</v>
      </c>
      <c r="P56" s="18">
        <v>14645</v>
      </c>
      <c r="Q56" s="18">
        <v>9464</v>
      </c>
      <c r="R56" s="18">
        <f>+O56+P56+Q56</f>
        <v>43608</v>
      </c>
      <c r="S56" s="18">
        <v>30120</v>
      </c>
      <c r="T56" s="18">
        <v>6278</v>
      </c>
      <c r="U56" s="18">
        <v>11080</v>
      </c>
      <c r="V56" s="18">
        <f>+S56+T56+U56</f>
        <v>47478</v>
      </c>
      <c r="W56" s="18">
        <v>39480</v>
      </c>
      <c r="X56" s="18">
        <v>4823</v>
      </c>
      <c r="Y56" s="62">
        <v>11268</v>
      </c>
      <c r="Z56" s="62">
        <f>+W56+X56+Y56</f>
        <v>55571</v>
      </c>
      <c r="AA56" s="62">
        <v>37699</v>
      </c>
      <c r="AB56" s="62">
        <v>5199</v>
      </c>
      <c r="AC56" s="62">
        <v>12782</v>
      </c>
      <c r="AD56" s="62">
        <f>+AA56+AB56+AC56</f>
        <v>55680</v>
      </c>
      <c r="AE56" s="62">
        <v>40582</v>
      </c>
      <c r="AF56" s="62">
        <v>5889</v>
      </c>
      <c r="AG56" s="18">
        <v>14005</v>
      </c>
      <c r="AH56" s="18">
        <f>+AE56+AF56+AG56</f>
        <v>60476</v>
      </c>
      <c r="AI56" s="18"/>
      <c r="AJ56" s="20" t="s">
        <v>4</v>
      </c>
      <c r="AK56" s="19"/>
      <c r="AL56" s="28" t="s">
        <v>6</v>
      </c>
    </row>
    <row r="57" spans="1:38" s="6" customFormat="1" ht="30" customHeight="1">
      <c r="A57" s="19">
        <v>7.2</v>
      </c>
      <c r="B57" s="15" t="s">
        <v>36</v>
      </c>
      <c r="C57" s="18">
        <f aca="true" t="shared" si="40" ref="C57:V57">C58+C59</f>
        <v>37686</v>
      </c>
      <c r="D57" s="18">
        <f t="shared" si="40"/>
        <v>117105</v>
      </c>
      <c r="E57" s="18">
        <f t="shared" si="40"/>
        <v>15204</v>
      </c>
      <c r="F57" s="18">
        <f t="shared" si="40"/>
        <v>169995</v>
      </c>
      <c r="G57" s="18">
        <f t="shared" si="40"/>
        <v>42021</v>
      </c>
      <c r="H57" s="18">
        <f t="shared" si="40"/>
        <v>133662</v>
      </c>
      <c r="I57" s="18">
        <f t="shared" si="40"/>
        <v>17033</v>
      </c>
      <c r="J57" s="18">
        <f t="shared" si="40"/>
        <v>192716</v>
      </c>
      <c r="K57" s="18">
        <f t="shared" si="40"/>
        <v>50048</v>
      </c>
      <c r="L57" s="18">
        <f t="shared" si="40"/>
        <v>155258</v>
      </c>
      <c r="M57" s="18">
        <f t="shared" si="40"/>
        <v>19083</v>
      </c>
      <c r="N57" s="18">
        <f t="shared" si="40"/>
        <v>224389</v>
      </c>
      <c r="O57" s="18">
        <f t="shared" si="40"/>
        <v>57382</v>
      </c>
      <c r="P57" s="18">
        <f t="shared" si="40"/>
        <v>175720</v>
      </c>
      <c r="Q57" s="18">
        <f t="shared" si="40"/>
        <v>21302</v>
      </c>
      <c r="R57" s="18">
        <f t="shared" si="40"/>
        <v>254404</v>
      </c>
      <c r="S57" s="18">
        <f t="shared" si="40"/>
        <v>67923</v>
      </c>
      <c r="T57" s="18">
        <f t="shared" si="40"/>
        <v>195911</v>
      </c>
      <c r="U57" s="18">
        <f t="shared" si="40"/>
        <v>25493</v>
      </c>
      <c r="V57" s="18">
        <f t="shared" si="40"/>
        <v>289327</v>
      </c>
      <c r="W57" s="18">
        <f aca="true" t="shared" si="41" ref="W57:AD57">W58+W59</f>
        <v>82976</v>
      </c>
      <c r="X57" s="18">
        <f t="shared" si="41"/>
        <v>212289</v>
      </c>
      <c r="Y57" s="62">
        <f t="shared" si="41"/>
        <v>29861</v>
      </c>
      <c r="Z57" s="62">
        <f t="shared" si="41"/>
        <v>325126</v>
      </c>
      <c r="AA57" s="62">
        <f t="shared" si="41"/>
        <v>96397</v>
      </c>
      <c r="AB57" s="62">
        <f t="shared" si="41"/>
        <v>257095</v>
      </c>
      <c r="AC57" s="62">
        <f t="shared" si="41"/>
        <v>33884</v>
      </c>
      <c r="AD57" s="62">
        <f t="shared" si="41"/>
        <v>387376</v>
      </c>
      <c r="AE57" s="62">
        <f>AE58+AE59</f>
        <v>111461</v>
      </c>
      <c r="AF57" s="62">
        <f>AF58+AF59</f>
        <v>303390</v>
      </c>
      <c r="AG57" s="18">
        <f>AG58+AG59</f>
        <v>39272</v>
      </c>
      <c r="AH57" s="18">
        <f>AH58+AH59</f>
        <v>454123</v>
      </c>
      <c r="AI57" s="18"/>
      <c r="AJ57" s="19">
        <v>7.2</v>
      </c>
      <c r="AK57" s="20"/>
      <c r="AL57" s="28" t="s">
        <v>18</v>
      </c>
    </row>
    <row r="58" spans="1:38" s="6" customFormat="1" ht="30" customHeight="1">
      <c r="A58" s="29" t="s">
        <v>67</v>
      </c>
      <c r="B58" s="15" t="s">
        <v>26</v>
      </c>
      <c r="C58" s="18">
        <v>16945</v>
      </c>
      <c r="D58" s="18">
        <v>17259</v>
      </c>
      <c r="E58" s="18">
        <v>5459</v>
      </c>
      <c r="F58" s="18">
        <f>+C58+D58+E58</f>
        <v>39663</v>
      </c>
      <c r="G58" s="18">
        <v>18520</v>
      </c>
      <c r="H58" s="18">
        <v>20010</v>
      </c>
      <c r="I58" s="18">
        <v>5891</v>
      </c>
      <c r="J58" s="18">
        <f>+G58+H58+I58</f>
        <v>44421</v>
      </c>
      <c r="K58" s="18">
        <v>22579</v>
      </c>
      <c r="L58" s="18">
        <f>22541-1</f>
        <v>22540</v>
      </c>
      <c r="M58" s="18">
        <v>6947</v>
      </c>
      <c r="N58" s="18">
        <f>+K58+L58+M58</f>
        <v>52066</v>
      </c>
      <c r="O58" s="18">
        <v>25640</v>
      </c>
      <c r="P58" s="18">
        <f>23912+1</f>
        <v>23913</v>
      </c>
      <c r="Q58" s="18">
        <v>9135</v>
      </c>
      <c r="R58" s="18">
        <f>+O58+P58+Q58</f>
        <v>58688</v>
      </c>
      <c r="S58" s="18">
        <v>30774</v>
      </c>
      <c r="T58" s="18">
        <v>21830</v>
      </c>
      <c r="U58" s="18">
        <v>11101</v>
      </c>
      <c r="V58" s="18">
        <f>+S58+T58+U58</f>
        <v>63705</v>
      </c>
      <c r="W58" s="18">
        <v>37748</v>
      </c>
      <c r="X58" s="18">
        <v>19730</v>
      </c>
      <c r="Y58" s="62">
        <v>12753</v>
      </c>
      <c r="Z58" s="62">
        <f>+W58+X58+Y58</f>
        <v>70231</v>
      </c>
      <c r="AA58" s="62">
        <v>41939</v>
      </c>
      <c r="AB58" s="62">
        <v>26708</v>
      </c>
      <c r="AC58" s="62">
        <v>14392</v>
      </c>
      <c r="AD58" s="62">
        <f>+AA58+AB58+AC58</f>
        <v>83039</v>
      </c>
      <c r="AE58" s="62">
        <f>47045+1</f>
        <v>47046</v>
      </c>
      <c r="AF58" s="62">
        <v>30057</v>
      </c>
      <c r="AG58" s="18">
        <v>15640</v>
      </c>
      <c r="AH58" s="18">
        <f>+AE58+AF58+AG58</f>
        <v>92743</v>
      </c>
      <c r="AI58" s="18"/>
      <c r="AJ58" s="20" t="s">
        <v>4</v>
      </c>
      <c r="AK58" s="19"/>
      <c r="AL58" s="28" t="s">
        <v>6</v>
      </c>
    </row>
    <row r="59" spans="1:38" s="6" customFormat="1" ht="30" customHeight="1">
      <c r="A59" s="29" t="s">
        <v>68</v>
      </c>
      <c r="B59" s="15" t="s">
        <v>27</v>
      </c>
      <c r="C59" s="18">
        <v>20741</v>
      </c>
      <c r="D59" s="18">
        <v>99846</v>
      </c>
      <c r="E59" s="18">
        <v>9745</v>
      </c>
      <c r="F59" s="18">
        <f>+C59+D59+E59</f>
        <v>130332</v>
      </c>
      <c r="G59" s="18">
        <v>23501</v>
      </c>
      <c r="H59" s="18">
        <v>113652</v>
      </c>
      <c r="I59" s="18">
        <v>11142</v>
      </c>
      <c r="J59" s="18">
        <f>+G59+H59+I59</f>
        <v>148295</v>
      </c>
      <c r="K59" s="18">
        <v>27469</v>
      </c>
      <c r="L59" s="18">
        <v>132718</v>
      </c>
      <c r="M59" s="18">
        <v>12136</v>
      </c>
      <c r="N59" s="18">
        <f>+K59+L59+M59</f>
        <v>172323</v>
      </c>
      <c r="O59" s="18">
        <v>31742</v>
      </c>
      <c r="P59" s="18">
        <v>151807</v>
      </c>
      <c r="Q59" s="18">
        <v>12167</v>
      </c>
      <c r="R59" s="18">
        <f>+O59+P59+Q59</f>
        <v>195716</v>
      </c>
      <c r="S59" s="18">
        <v>37149</v>
      </c>
      <c r="T59" s="18">
        <v>174081</v>
      </c>
      <c r="U59" s="18">
        <v>14392</v>
      </c>
      <c r="V59" s="18">
        <f>+S59+T59+U59</f>
        <v>225622</v>
      </c>
      <c r="W59" s="18">
        <v>45228</v>
      </c>
      <c r="X59" s="18">
        <v>192559</v>
      </c>
      <c r="Y59" s="62">
        <v>17108</v>
      </c>
      <c r="Z59" s="62">
        <f>+W59+X59+Y59</f>
        <v>254895</v>
      </c>
      <c r="AA59" s="62">
        <v>54458</v>
      </c>
      <c r="AB59" s="62">
        <v>230387</v>
      </c>
      <c r="AC59" s="62">
        <v>19492</v>
      </c>
      <c r="AD59" s="62">
        <f>+AA59+AB59+AC59</f>
        <v>304337</v>
      </c>
      <c r="AE59" s="62">
        <v>64415</v>
      </c>
      <c r="AF59" s="62">
        <v>273333</v>
      </c>
      <c r="AG59" s="18">
        <v>23632</v>
      </c>
      <c r="AH59" s="18">
        <f>+AE59+AF59+AG59</f>
        <v>361380</v>
      </c>
      <c r="AI59" s="18"/>
      <c r="AJ59" s="20" t="s">
        <v>5</v>
      </c>
      <c r="AK59" s="19"/>
      <c r="AL59" s="28" t="s">
        <v>7</v>
      </c>
    </row>
    <row r="60" spans="1:38" s="6" customFormat="1" ht="30" customHeight="1">
      <c r="A60" s="19">
        <v>7.3</v>
      </c>
      <c r="B60" s="15" t="s">
        <v>37</v>
      </c>
      <c r="C60" s="18">
        <f aca="true" t="shared" si="42" ref="C60:V60">C61+C62</f>
        <v>537</v>
      </c>
      <c r="D60" s="18">
        <f t="shared" si="42"/>
        <v>1335</v>
      </c>
      <c r="E60" s="18">
        <f t="shared" si="42"/>
        <v>108</v>
      </c>
      <c r="F60" s="18">
        <f t="shared" si="42"/>
        <v>1980</v>
      </c>
      <c r="G60" s="18">
        <f t="shared" si="42"/>
        <v>606</v>
      </c>
      <c r="H60" s="18">
        <f t="shared" si="42"/>
        <v>1418</v>
      </c>
      <c r="I60" s="18">
        <f t="shared" si="42"/>
        <v>131</v>
      </c>
      <c r="J60" s="18">
        <f t="shared" si="42"/>
        <v>2155</v>
      </c>
      <c r="K60" s="18">
        <f t="shared" si="42"/>
        <v>723</v>
      </c>
      <c r="L60" s="18">
        <f t="shared" si="42"/>
        <v>1638</v>
      </c>
      <c r="M60" s="18">
        <f t="shared" si="42"/>
        <v>159</v>
      </c>
      <c r="N60" s="18">
        <f t="shared" si="42"/>
        <v>2520</v>
      </c>
      <c r="O60" s="18">
        <f t="shared" si="42"/>
        <v>850</v>
      </c>
      <c r="P60" s="18">
        <f t="shared" si="42"/>
        <v>1676</v>
      </c>
      <c r="Q60" s="18">
        <f t="shared" si="42"/>
        <v>190</v>
      </c>
      <c r="R60" s="18">
        <f t="shared" si="42"/>
        <v>2716</v>
      </c>
      <c r="S60" s="18">
        <f t="shared" si="42"/>
        <v>1089</v>
      </c>
      <c r="T60" s="18">
        <f t="shared" si="42"/>
        <v>1878</v>
      </c>
      <c r="U60" s="18">
        <f t="shared" si="42"/>
        <v>246</v>
      </c>
      <c r="V60" s="18">
        <f t="shared" si="42"/>
        <v>3213</v>
      </c>
      <c r="W60" s="18">
        <f aca="true" t="shared" si="43" ref="W60:AD60">W61+W62</f>
        <v>1372</v>
      </c>
      <c r="X60" s="18">
        <f t="shared" si="43"/>
        <v>2537</v>
      </c>
      <c r="Y60" s="62">
        <f t="shared" si="43"/>
        <v>302</v>
      </c>
      <c r="Z60" s="62">
        <f t="shared" si="43"/>
        <v>4211</v>
      </c>
      <c r="AA60" s="62">
        <f t="shared" si="43"/>
        <v>1424</v>
      </c>
      <c r="AB60" s="62">
        <f t="shared" si="43"/>
        <v>2801</v>
      </c>
      <c r="AC60" s="62">
        <f t="shared" si="43"/>
        <v>363</v>
      </c>
      <c r="AD60" s="62">
        <f t="shared" si="43"/>
        <v>4588</v>
      </c>
      <c r="AE60" s="62">
        <f>AE61+AE62</f>
        <v>1692</v>
      </c>
      <c r="AF60" s="62">
        <f>AF61+AF62</f>
        <v>3218</v>
      </c>
      <c r="AG60" s="18">
        <f>AG61+AG62</f>
        <v>468</v>
      </c>
      <c r="AH60" s="18">
        <f>AH61+AH62</f>
        <v>5378</v>
      </c>
      <c r="AI60" s="18"/>
      <c r="AJ60" s="19">
        <v>7.3</v>
      </c>
      <c r="AK60" s="20"/>
      <c r="AL60" s="28" t="s">
        <v>19</v>
      </c>
    </row>
    <row r="61" spans="1:38" s="6" customFormat="1" ht="30" customHeight="1">
      <c r="A61" s="29" t="s">
        <v>67</v>
      </c>
      <c r="B61" s="15" t="s">
        <v>26</v>
      </c>
      <c r="C61" s="18">
        <v>428</v>
      </c>
      <c r="D61" s="18">
        <v>811</v>
      </c>
      <c r="E61" s="18">
        <v>85</v>
      </c>
      <c r="F61" s="18">
        <f>+C61+D61+E61</f>
        <v>1324</v>
      </c>
      <c r="G61" s="18">
        <v>478</v>
      </c>
      <c r="H61" s="18">
        <v>808</v>
      </c>
      <c r="I61" s="18">
        <v>91</v>
      </c>
      <c r="J61" s="18">
        <f>+G61+H61+I61</f>
        <v>1377</v>
      </c>
      <c r="K61" s="18">
        <v>568</v>
      </c>
      <c r="L61" s="18">
        <v>902</v>
      </c>
      <c r="M61" s="18">
        <v>101</v>
      </c>
      <c r="N61" s="18">
        <f>+K61+L61+M61</f>
        <v>1571</v>
      </c>
      <c r="O61" s="18">
        <v>663</v>
      </c>
      <c r="P61" s="18">
        <v>811</v>
      </c>
      <c r="Q61" s="18">
        <v>109</v>
      </c>
      <c r="R61" s="18">
        <f>+O61+P61+Q61</f>
        <v>1583</v>
      </c>
      <c r="S61" s="18">
        <v>857</v>
      </c>
      <c r="T61" s="18">
        <v>824</v>
      </c>
      <c r="U61" s="18">
        <v>118</v>
      </c>
      <c r="V61" s="18">
        <f>+S61+T61+U61</f>
        <v>1799</v>
      </c>
      <c r="W61" s="18">
        <v>1075</v>
      </c>
      <c r="X61" s="18">
        <v>1191</v>
      </c>
      <c r="Y61" s="62">
        <v>132</v>
      </c>
      <c r="Z61" s="62">
        <f>+W61+X61+Y61</f>
        <v>2398</v>
      </c>
      <c r="AA61" s="62">
        <v>1053</v>
      </c>
      <c r="AB61" s="62">
        <v>1103</v>
      </c>
      <c r="AC61" s="62">
        <v>145</v>
      </c>
      <c r="AD61" s="62">
        <f>+AA61+AB61+AC61</f>
        <v>2301</v>
      </c>
      <c r="AE61" s="62">
        <v>1237</v>
      </c>
      <c r="AF61" s="62">
        <v>1141</v>
      </c>
      <c r="AG61" s="18">
        <v>176</v>
      </c>
      <c r="AH61" s="18">
        <f>+AE61+AF61+AG61</f>
        <v>2554</v>
      </c>
      <c r="AI61" s="18"/>
      <c r="AJ61" s="20" t="s">
        <v>4</v>
      </c>
      <c r="AK61" s="19"/>
      <c r="AL61" s="28" t="s">
        <v>6</v>
      </c>
    </row>
    <row r="62" spans="1:38" s="6" customFormat="1" ht="30" customHeight="1">
      <c r="A62" s="29" t="s">
        <v>68</v>
      </c>
      <c r="B62" s="15" t="s">
        <v>27</v>
      </c>
      <c r="C62" s="18">
        <v>109</v>
      </c>
      <c r="D62" s="18">
        <v>524</v>
      </c>
      <c r="E62" s="18">
        <v>23</v>
      </c>
      <c r="F62" s="18">
        <f>+C62+D62+E62</f>
        <v>656</v>
      </c>
      <c r="G62" s="18">
        <v>128</v>
      </c>
      <c r="H62" s="18">
        <f>609+1</f>
        <v>610</v>
      </c>
      <c r="I62" s="18">
        <v>40</v>
      </c>
      <c r="J62" s="18">
        <f>+G62+H62+I62</f>
        <v>778</v>
      </c>
      <c r="K62" s="18">
        <v>155</v>
      </c>
      <c r="L62" s="18">
        <v>736</v>
      </c>
      <c r="M62" s="18">
        <v>58</v>
      </c>
      <c r="N62" s="18">
        <f>+K62+L62+M62</f>
        <v>949</v>
      </c>
      <c r="O62" s="18">
        <v>187</v>
      </c>
      <c r="P62" s="18">
        <v>865</v>
      </c>
      <c r="Q62" s="18">
        <v>81</v>
      </c>
      <c r="R62" s="18">
        <f>+O62+P62+Q62</f>
        <v>1133</v>
      </c>
      <c r="S62" s="18">
        <v>232</v>
      </c>
      <c r="T62" s="18">
        <v>1054</v>
      </c>
      <c r="U62" s="18">
        <v>128</v>
      </c>
      <c r="V62" s="18">
        <f>+S62+T62+U62</f>
        <v>1414</v>
      </c>
      <c r="W62" s="18">
        <v>297</v>
      </c>
      <c r="X62" s="18">
        <v>1346</v>
      </c>
      <c r="Y62" s="62">
        <v>170</v>
      </c>
      <c r="Z62" s="62">
        <f>+W62+X62+Y62</f>
        <v>1813</v>
      </c>
      <c r="AA62" s="62">
        <v>371</v>
      </c>
      <c r="AB62" s="62">
        <f>1699-1</f>
        <v>1698</v>
      </c>
      <c r="AC62" s="62">
        <v>218</v>
      </c>
      <c r="AD62" s="62">
        <f>+AA62+AB62+AC62</f>
        <v>2287</v>
      </c>
      <c r="AE62" s="62">
        <v>455</v>
      </c>
      <c r="AF62" s="62">
        <v>2077</v>
      </c>
      <c r="AG62" s="18">
        <v>292</v>
      </c>
      <c r="AH62" s="18">
        <f>+AE62+AF62+AG62</f>
        <v>2824</v>
      </c>
      <c r="AI62" s="18"/>
      <c r="AJ62" s="20" t="s">
        <v>5</v>
      </c>
      <c r="AK62" s="19"/>
      <c r="AL62" s="28" t="s">
        <v>7</v>
      </c>
    </row>
    <row r="63" spans="1:38" s="6" customFormat="1" ht="30" customHeight="1">
      <c r="A63" s="19">
        <v>7.4</v>
      </c>
      <c r="B63" s="15" t="s">
        <v>38</v>
      </c>
      <c r="C63" s="18">
        <f aca="true" t="shared" si="44" ref="C63:V63">C64+C65</f>
        <v>17545</v>
      </c>
      <c r="D63" s="18">
        <f t="shared" si="44"/>
        <v>23681</v>
      </c>
      <c r="E63" s="18">
        <f t="shared" si="44"/>
        <v>8054</v>
      </c>
      <c r="F63" s="18">
        <f t="shared" si="44"/>
        <v>49280</v>
      </c>
      <c r="G63" s="18">
        <f t="shared" si="44"/>
        <v>17421</v>
      </c>
      <c r="H63" s="18">
        <f t="shared" si="44"/>
        <v>27731</v>
      </c>
      <c r="I63" s="18">
        <f t="shared" si="44"/>
        <v>8883</v>
      </c>
      <c r="J63" s="18">
        <f t="shared" si="44"/>
        <v>54035</v>
      </c>
      <c r="K63" s="18">
        <f t="shared" si="44"/>
        <v>18054</v>
      </c>
      <c r="L63" s="18">
        <f t="shared" si="44"/>
        <v>31650</v>
      </c>
      <c r="M63" s="18">
        <f t="shared" si="44"/>
        <v>8990</v>
      </c>
      <c r="N63" s="18">
        <f t="shared" si="44"/>
        <v>58694</v>
      </c>
      <c r="O63" s="18">
        <f t="shared" si="44"/>
        <v>20969</v>
      </c>
      <c r="P63" s="18">
        <f t="shared" si="44"/>
        <v>34424</v>
      </c>
      <c r="Q63" s="18">
        <f t="shared" si="44"/>
        <v>10676</v>
      </c>
      <c r="R63" s="18">
        <f t="shared" si="44"/>
        <v>66069</v>
      </c>
      <c r="S63" s="18">
        <f t="shared" si="44"/>
        <v>27241</v>
      </c>
      <c r="T63" s="18">
        <f t="shared" si="44"/>
        <v>34434</v>
      </c>
      <c r="U63" s="18">
        <f t="shared" si="44"/>
        <v>13755</v>
      </c>
      <c r="V63" s="18">
        <f t="shared" si="44"/>
        <v>75430</v>
      </c>
      <c r="W63" s="18">
        <f aca="true" t="shared" si="45" ref="W63:AD63">W64+W65</f>
        <v>37879</v>
      </c>
      <c r="X63" s="18">
        <f t="shared" si="45"/>
        <v>30896</v>
      </c>
      <c r="Y63" s="62">
        <f t="shared" si="45"/>
        <v>17707.614314643484</v>
      </c>
      <c r="Z63" s="62">
        <f t="shared" si="45"/>
        <v>86482.61431464349</v>
      </c>
      <c r="AA63" s="62">
        <f t="shared" si="45"/>
        <v>37754</v>
      </c>
      <c r="AB63" s="62">
        <f t="shared" si="45"/>
        <v>24915</v>
      </c>
      <c r="AC63" s="62">
        <f t="shared" si="45"/>
        <v>17429.911772965144</v>
      </c>
      <c r="AD63" s="62">
        <f t="shared" si="45"/>
        <v>80098.91177296515</v>
      </c>
      <c r="AE63" s="62">
        <f>AE64+AE65</f>
        <v>38912</v>
      </c>
      <c r="AF63" s="62">
        <f>AF64+AF65</f>
        <v>14118</v>
      </c>
      <c r="AG63" s="62">
        <f>AG64+AG65</f>
        <v>22441.58630913044</v>
      </c>
      <c r="AH63" s="62">
        <f>AH64+AH65</f>
        <v>75471.58630913045</v>
      </c>
      <c r="AI63" s="18"/>
      <c r="AJ63" s="19">
        <v>7.4</v>
      </c>
      <c r="AK63" s="20"/>
      <c r="AL63" s="28" t="s">
        <v>20</v>
      </c>
    </row>
    <row r="64" spans="1:38" s="6" customFormat="1" ht="30" customHeight="1">
      <c r="A64" s="29" t="s">
        <v>67</v>
      </c>
      <c r="B64" s="15" t="s">
        <v>26</v>
      </c>
      <c r="C64" s="18">
        <v>16165</v>
      </c>
      <c r="D64" s="18">
        <v>17039</v>
      </c>
      <c r="E64" s="18">
        <v>7685</v>
      </c>
      <c r="F64" s="18">
        <f>+C64+D64+E64</f>
        <v>40889</v>
      </c>
      <c r="G64" s="18">
        <v>15734</v>
      </c>
      <c r="H64" s="18">
        <v>19285</v>
      </c>
      <c r="I64" s="18">
        <v>8022</v>
      </c>
      <c r="J64" s="18">
        <f>+G64+H64+I64</f>
        <v>43041</v>
      </c>
      <c r="K64" s="18">
        <v>15927</v>
      </c>
      <c r="L64" s="18">
        <v>20255</v>
      </c>
      <c r="M64" s="18">
        <v>7653</v>
      </c>
      <c r="N64" s="18">
        <f>+K64+L64+M64</f>
        <v>43835</v>
      </c>
      <c r="O64" s="18">
        <v>18289</v>
      </c>
      <c r="P64" s="18">
        <v>19636</v>
      </c>
      <c r="Q64" s="18">
        <v>8750</v>
      </c>
      <c r="R64" s="18">
        <f>+O64+P64+Q64</f>
        <v>46675</v>
      </c>
      <c r="S64" s="18">
        <v>23769</v>
      </c>
      <c r="T64" s="18">
        <v>17796</v>
      </c>
      <c r="U64" s="18">
        <v>9736</v>
      </c>
      <c r="V64" s="18">
        <f>+S64+T64+U64</f>
        <v>51301</v>
      </c>
      <c r="W64" s="62">
        <v>33223</v>
      </c>
      <c r="X64" s="62">
        <v>14225</v>
      </c>
      <c r="Y64" s="62">
        <v>11082.614314643486</v>
      </c>
      <c r="Z64" s="62">
        <f>+W64+X64+Y64</f>
        <v>58530.614314643484</v>
      </c>
      <c r="AA64" s="62">
        <v>31656</v>
      </c>
      <c r="AB64" s="62">
        <v>13297</v>
      </c>
      <c r="AC64" s="62">
        <v>8269.911772965144</v>
      </c>
      <c r="AD64" s="62">
        <f>+AA64+AB64+AC64</f>
        <v>53222.91177296515</v>
      </c>
      <c r="AE64" s="62">
        <v>31038</v>
      </c>
      <c r="AF64" s="62">
        <v>6100</v>
      </c>
      <c r="AG64" s="62">
        <v>11393.586309130444</v>
      </c>
      <c r="AH64" s="62">
        <f>+AE64+AF64+AG64</f>
        <v>48531.58630913044</v>
      </c>
      <c r="AI64" s="18"/>
      <c r="AJ64" s="20" t="s">
        <v>4</v>
      </c>
      <c r="AK64" s="19"/>
      <c r="AL64" s="28" t="s">
        <v>6</v>
      </c>
    </row>
    <row r="65" spans="1:38" s="6" customFormat="1" ht="30" customHeight="1">
      <c r="A65" s="29" t="s">
        <v>68</v>
      </c>
      <c r="B65" s="15" t="s">
        <v>27</v>
      </c>
      <c r="C65" s="18">
        <v>1380</v>
      </c>
      <c r="D65" s="18">
        <v>6642</v>
      </c>
      <c r="E65" s="18">
        <v>369</v>
      </c>
      <c r="F65" s="18">
        <f>+C65+D65+E65</f>
        <v>8391</v>
      </c>
      <c r="G65" s="18">
        <v>1687</v>
      </c>
      <c r="H65" s="18">
        <f>8447-1</f>
        <v>8446</v>
      </c>
      <c r="I65" s="18">
        <v>861</v>
      </c>
      <c r="J65" s="18">
        <f>+G65+H65+I65</f>
        <v>10994</v>
      </c>
      <c r="K65" s="18">
        <v>2127</v>
      </c>
      <c r="L65" s="18">
        <f>11394+1</f>
        <v>11395</v>
      </c>
      <c r="M65" s="18">
        <f>1338-1</f>
        <v>1337</v>
      </c>
      <c r="N65" s="18">
        <f>+K65+L65+M65</f>
        <v>14859</v>
      </c>
      <c r="O65" s="18">
        <v>2680</v>
      </c>
      <c r="P65" s="18">
        <f>170+616+14002</f>
        <v>14788</v>
      </c>
      <c r="Q65" s="18">
        <v>1926</v>
      </c>
      <c r="R65" s="18">
        <f>+O65+P65+Q65</f>
        <v>19394</v>
      </c>
      <c r="S65" s="18">
        <v>3472</v>
      </c>
      <c r="T65" s="18">
        <f>187+672+15777+2</f>
        <v>16638</v>
      </c>
      <c r="U65" s="18">
        <f>4021-2</f>
        <v>4019</v>
      </c>
      <c r="V65" s="18">
        <f>+S65+T65+U65</f>
        <v>24129</v>
      </c>
      <c r="W65" s="62">
        <v>4656</v>
      </c>
      <c r="X65" s="62">
        <f>16672-1</f>
        <v>16671</v>
      </c>
      <c r="Y65" s="62">
        <v>6625</v>
      </c>
      <c r="Z65" s="62">
        <f>+W65+X65+Y65</f>
        <v>27952</v>
      </c>
      <c r="AA65" s="62">
        <v>6098</v>
      </c>
      <c r="AB65" s="62">
        <v>11618</v>
      </c>
      <c r="AC65" s="62">
        <v>9160</v>
      </c>
      <c r="AD65" s="62">
        <f>+AA65+AB65+AC65</f>
        <v>26876</v>
      </c>
      <c r="AE65" s="62">
        <v>7874</v>
      </c>
      <c r="AF65" s="62">
        <v>8018</v>
      </c>
      <c r="AG65" s="62">
        <v>11048</v>
      </c>
      <c r="AH65" s="62">
        <f>+AE65+AF65+AG65</f>
        <v>26940</v>
      </c>
      <c r="AI65" s="18"/>
      <c r="AJ65" s="20" t="s">
        <v>5</v>
      </c>
      <c r="AK65" s="19"/>
      <c r="AL65" s="28" t="s">
        <v>7</v>
      </c>
    </row>
    <row r="66" spans="1:38" s="9" customFormat="1" ht="30" customHeight="1">
      <c r="A66" s="22">
        <v>8</v>
      </c>
      <c r="B66" s="14" t="s">
        <v>49</v>
      </c>
      <c r="C66" s="16">
        <f aca="true" t="shared" si="46" ref="C66:V66">C68+C69</f>
        <v>83130</v>
      </c>
      <c r="D66" s="16">
        <f t="shared" si="46"/>
        <v>314749</v>
      </c>
      <c r="E66" s="16">
        <f t="shared" si="46"/>
        <v>39295</v>
      </c>
      <c r="F66" s="16">
        <f t="shared" si="46"/>
        <v>437174</v>
      </c>
      <c r="G66" s="16">
        <f t="shared" si="46"/>
        <v>88765</v>
      </c>
      <c r="H66" s="16">
        <f t="shared" si="46"/>
        <v>360072</v>
      </c>
      <c r="I66" s="16">
        <f t="shared" si="46"/>
        <v>44265</v>
      </c>
      <c r="J66" s="16">
        <f t="shared" si="46"/>
        <v>493102</v>
      </c>
      <c r="K66" s="16">
        <f t="shared" si="46"/>
        <v>96383</v>
      </c>
      <c r="L66" s="16">
        <f t="shared" si="46"/>
        <v>438765</v>
      </c>
      <c r="M66" s="16">
        <f t="shared" si="46"/>
        <v>51447</v>
      </c>
      <c r="N66" s="16">
        <f t="shared" si="46"/>
        <v>586595</v>
      </c>
      <c r="O66" s="16">
        <f t="shared" si="46"/>
        <v>100184</v>
      </c>
      <c r="P66" s="16">
        <f t="shared" si="46"/>
        <v>530832</v>
      </c>
      <c r="Q66" s="16">
        <f t="shared" si="46"/>
        <v>60448</v>
      </c>
      <c r="R66" s="16">
        <f t="shared" si="46"/>
        <v>691464</v>
      </c>
      <c r="S66" s="16">
        <f t="shared" si="46"/>
        <v>126445</v>
      </c>
      <c r="T66" s="16">
        <f t="shared" si="46"/>
        <v>645800</v>
      </c>
      <c r="U66" s="16">
        <f t="shared" si="46"/>
        <v>73124</v>
      </c>
      <c r="V66" s="16">
        <f t="shared" si="46"/>
        <v>845369</v>
      </c>
      <c r="W66" s="16">
        <f aca="true" t="shared" si="47" ref="W66:AD66">W68+W69</f>
        <v>181538</v>
      </c>
      <c r="X66" s="16">
        <f t="shared" si="47"/>
        <v>697978</v>
      </c>
      <c r="Y66" s="63">
        <f t="shared" si="47"/>
        <v>85421</v>
      </c>
      <c r="Z66" s="63">
        <f t="shared" si="47"/>
        <v>964937</v>
      </c>
      <c r="AA66" s="63">
        <f t="shared" si="47"/>
        <v>220557</v>
      </c>
      <c r="AB66" s="63">
        <f t="shared" si="47"/>
        <v>845480</v>
      </c>
      <c r="AC66" s="63">
        <f t="shared" si="47"/>
        <v>99864</v>
      </c>
      <c r="AD66" s="63">
        <f t="shared" si="47"/>
        <v>1165901</v>
      </c>
      <c r="AE66" s="63">
        <f>AE68+AE69</f>
        <v>252792</v>
      </c>
      <c r="AF66" s="63">
        <f>AF68+AF69</f>
        <v>1014495</v>
      </c>
      <c r="AG66" s="16">
        <f>AG68+AG69</f>
        <v>117194</v>
      </c>
      <c r="AH66" s="16">
        <f>AH68+AH69</f>
        <v>1384481</v>
      </c>
      <c r="AI66" s="16"/>
      <c r="AJ66" s="22">
        <v>8</v>
      </c>
      <c r="AK66" s="17"/>
      <c r="AL66" s="21" t="s">
        <v>59</v>
      </c>
    </row>
    <row r="67" spans="1:38" s="9" customFormat="1" ht="30" customHeight="1">
      <c r="A67" s="12"/>
      <c r="B67" s="14" t="s">
        <v>50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63"/>
      <c r="Z67" s="63"/>
      <c r="AA67" s="63"/>
      <c r="AB67" s="63"/>
      <c r="AC67" s="63"/>
      <c r="AD67" s="63"/>
      <c r="AE67" s="63"/>
      <c r="AF67" s="63"/>
      <c r="AG67" s="16"/>
      <c r="AH67" s="16"/>
      <c r="AI67" s="16"/>
      <c r="AJ67" s="22"/>
      <c r="AK67" s="22"/>
      <c r="AL67" s="21" t="s">
        <v>58</v>
      </c>
    </row>
    <row r="68" spans="1:38" s="6" customFormat="1" ht="30" customHeight="1">
      <c r="A68" s="29" t="s">
        <v>67</v>
      </c>
      <c r="B68" s="15" t="s">
        <v>26</v>
      </c>
      <c r="C68" s="18">
        <f aca="true" t="shared" si="48" ref="C68:F69">C71+C75</f>
        <v>76032</v>
      </c>
      <c r="D68" s="18">
        <f t="shared" si="48"/>
        <v>141567</v>
      </c>
      <c r="E68" s="18">
        <f>E71+E75</f>
        <v>5082</v>
      </c>
      <c r="F68" s="18">
        <f t="shared" si="48"/>
        <v>222681</v>
      </c>
      <c r="G68" s="18">
        <f aca="true" t="shared" si="49" ref="G68:I69">G71+G75</f>
        <v>80267</v>
      </c>
      <c r="H68" s="18">
        <f t="shared" si="49"/>
        <v>169171</v>
      </c>
      <c r="I68" s="18">
        <f t="shared" si="49"/>
        <v>6064</v>
      </c>
      <c r="J68" s="18">
        <f aca="true" t="shared" si="50" ref="J68:M69">J71+J75</f>
        <v>255502</v>
      </c>
      <c r="K68" s="18">
        <f t="shared" si="50"/>
        <v>85897</v>
      </c>
      <c r="L68" s="18">
        <f t="shared" si="50"/>
        <v>218765</v>
      </c>
      <c r="M68" s="18">
        <f t="shared" si="50"/>
        <v>7371</v>
      </c>
      <c r="N68" s="18">
        <f aca="true" t="shared" si="51" ref="N68:Q69">N71+N75</f>
        <v>312033</v>
      </c>
      <c r="O68" s="18">
        <f t="shared" si="51"/>
        <v>87260</v>
      </c>
      <c r="P68" s="18">
        <f t="shared" si="51"/>
        <v>270089</v>
      </c>
      <c r="Q68" s="18">
        <f t="shared" si="51"/>
        <v>8834</v>
      </c>
      <c r="R68" s="18">
        <f aca="true" t="shared" si="52" ref="R68:U69">R71+R75</f>
        <v>366183</v>
      </c>
      <c r="S68" s="18">
        <f t="shared" si="52"/>
        <v>110046</v>
      </c>
      <c r="T68" s="18">
        <f t="shared" si="52"/>
        <v>337326</v>
      </c>
      <c r="U68" s="18">
        <f t="shared" si="52"/>
        <v>10427</v>
      </c>
      <c r="V68" s="18">
        <f aca="true" t="shared" si="53" ref="V68:Z69">V71+V75</f>
        <v>457799</v>
      </c>
      <c r="W68" s="18">
        <f t="shared" si="53"/>
        <v>160005</v>
      </c>
      <c r="X68" s="18">
        <f t="shared" si="53"/>
        <v>342170</v>
      </c>
      <c r="Y68" s="62">
        <f t="shared" si="53"/>
        <v>12032</v>
      </c>
      <c r="Z68" s="62">
        <f t="shared" si="53"/>
        <v>514207</v>
      </c>
      <c r="AA68" s="62">
        <f aca="true" t="shared" si="54" ref="AA68:AD69">AA71+AA75</f>
        <v>192813</v>
      </c>
      <c r="AB68" s="62">
        <f t="shared" si="54"/>
        <v>421074</v>
      </c>
      <c r="AC68" s="62">
        <f t="shared" si="54"/>
        <v>14208</v>
      </c>
      <c r="AD68" s="62">
        <f t="shared" si="54"/>
        <v>628095</v>
      </c>
      <c r="AE68" s="62">
        <f aca="true" t="shared" si="55" ref="AE68:AH69">AE71+AE75</f>
        <v>217526</v>
      </c>
      <c r="AF68" s="62">
        <f t="shared" si="55"/>
        <v>523625</v>
      </c>
      <c r="AG68" s="18">
        <f t="shared" si="55"/>
        <v>16222</v>
      </c>
      <c r="AH68" s="18">
        <f t="shared" si="55"/>
        <v>757373</v>
      </c>
      <c r="AI68" s="18"/>
      <c r="AJ68" s="20" t="s">
        <v>4</v>
      </c>
      <c r="AK68" s="19"/>
      <c r="AL68" s="28" t="s">
        <v>6</v>
      </c>
    </row>
    <row r="69" spans="1:38" s="6" customFormat="1" ht="30" customHeight="1">
      <c r="A69" s="29" t="s">
        <v>68</v>
      </c>
      <c r="B69" s="15" t="s">
        <v>27</v>
      </c>
      <c r="C69" s="18">
        <f t="shared" si="48"/>
        <v>7098</v>
      </c>
      <c r="D69" s="18">
        <f t="shared" si="48"/>
        <v>173182</v>
      </c>
      <c r="E69" s="18">
        <f>E72+E76</f>
        <v>34213</v>
      </c>
      <c r="F69" s="18">
        <f t="shared" si="48"/>
        <v>214493</v>
      </c>
      <c r="G69" s="18">
        <f t="shared" si="49"/>
        <v>8498</v>
      </c>
      <c r="H69" s="18">
        <f t="shared" si="49"/>
        <v>190901</v>
      </c>
      <c r="I69" s="18">
        <f t="shared" si="49"/>
        <v>38201</v>
      </c>
      <c r="J69" s="18">
        <f t="shared" si="50"/>
        <v>237600</v>
      </c>
      <c r="K69" s="18">
        <f t="shared" si="50"/>
        <v>10486</v>
      </c>
      <c r="L69" s="18">
        <f t="shared" si="50"/>
        <v>220000</v>
      </c>
      <c r="M69" s="18">
        <f t="shared" si="50"/>
        <v>44076</v>
      </c>
      <c r="N69" s="18">
        <f t="shared" si="51"/>
        <v>274562</v>
      </c>
      <c r="O69" s="18">
        <f t="shared" si="51"/>
        <v>12924</v>
      </c>
      <c r="P69" s="18">
        <f t="shared" si="51"/>
        <v>260743</v>
      </c>
      <c r="Q69" s="18">
        <f t="shared" si="51"/>
        <v>51614</v>
      </c>
      <c r="R69" s="18">
        <f t="shared" si="52"/>
        <v>325281</v>
      </c>
      <c r="S69" s="18">
        <f t="shared" si="52"/>
        <v>16399</v>
      </c>
      <c r="T69" s="18">
        <f t="shared" si="52"/>
        <v>308474</v>
      </c>
      <c r="U69" s="18">
        <f t="shared" si="52"/>
        <v>62697</v>
      </c>
      <c r="V69" s="18">
        <f t="shared" si="53"/>
        <v>387570</v>
      </c>
      <c r="W69" s="18">
        <f t="shared" si="53"/>
        <v>21533</v>
      </c>
      <c r="X69" s="18">
        <f t="shared" si="53"/>
        <v>355808</v>
      </c>
      <c r="Y69" s="62">
        <f t="shared" si="53"/>
        <v>73389</v>
      </c>
      <c r="Z69" s="62">
        <f t="shared" si="53"/>
        <v>450730</v>
      </c>
      <c r="AA69" s="62">
        <f t="shared" si="54"/>
        <v>27744</v>
      </c>
      <c r="AB69" s="62">
        <f t="shared" si="54"/>
        <v>424406</v>
      </c>
      <c r="AC69" s="62">
        <f t="shared" si="54"/>
        <v>85656</v>
      </c>
      <c r="AD69" s="62">
        <f t="shared" si="54"/>
        <v>537806</v>
      </c>
      <c r="AE69" s="62">
        <f t="shared" si="55"/>
        <v>35266</v>
      </c>
      <c r="AF69" s="62">
        <f t="shared" si="55"/>
        <v>490870</v>
      </c>
      <c r="AG69" s="18">
        <f t="shared" si="55"/>
        <v>100972</v>
      </c>
      <c r="AH69" s="18">
        <f t="shared" si="55"/>
        <v>627108</v>
      </c>
      <c r="AI69" s="18"/>
      <c r="AJ69" s="20" t="s">
        <v>5</v>
      </c>
      <c r="AK69" s="19"/>
      <c r="AL69" s="28" t="s">
        <v>7</v>
      </c>
    </row>
    <row r="70" spans="1:38" s="6" customFormat="1" ht="30" customHeight="1">
      <c r="A70" s="19">
        <v>8.1</v>
      </c>
      <c r="B70" s="15" t="s">
        <v>39</v>
      </c>
      <c r="C70" s="18">
        <f aca="true" t="shared" si="56" ref="C70:V70">C71+C72</f>
        <v>58136</v>
      </c>
      <c r="D70" s="18">
        <f t="shared" si="56"/>
        <v>109976</v>
      </c>
      <c r="E70" s="18">
        <f t="shared" si="56"/>
        <v>2986</v>
      </c>
      <c r="F70" s="18">
        <f t="shared" si="56"/>
        <v>171098</v>
      </c>
      <c r="G70" s="18">
        <f t="shared" si="56"/>
        <v>65917</v>
      </c>
      <c r="H70" s="18">
        <f t="shared" si="56"/>
        <v>114929</v>
      </c>
      <c r="I70" s="18">
        <f t="shared" si="56"/>
        <v>3272</v>
      </c>
      <c r="J70" s="18">
        <f t="shared" si="56"/>
        <v>184118</v>
      </c>
      <c r="K70" s="18">
        <f t="shared" si="56"/>
        <v>70532</v>
      </c>
      <c r="L70" s="18">
        <f t="shared" si="56"/>
        <v>142912</v>
      </c>
      <c r="M70" s="18">
        <f t="shared" si="56"/>
        <v>3752</v>
      </c>
      <c r="N70" s="18">
        <f t="shared" si="56"/>
        <v>217196</v>
      </c>
      <c r="O70" s="18">
        <f t="shared" si="56"/>
        <v>76548</v>
      </c>
      <c r="P70" s="18">
        <f t="shared" si="56"/>
        <v>170469</v>
      </c>
      <c r="Q70" s="18">
        <f t="shared" si="56"/>
        <v>4178</v>
      </c>
      <c r="R70" s="18">
        <f t="shared" si="56"/>
        <v>251195</v>
      </c>
      <c r="S70" s="18">
        <f t="shared" si="56"/>
        <v>87347</v>
      </c>
      <c r="T70" s="18">
        <f t="shared" si="56"/>
        <v>206935</v>
      </c>
      <c r="U70" s="18">
        <f t="shared" si="56"/>
        <v>4649</v>
      </c>
      <c r="V70" s="18">
        <f t="shared" si="56"/>
        <v>298931</v>
      </c>
      <c r="W70" s="18">
        <f aca="true" t="shared" si="57" ref="W70:AD70">W71+W72</f>
        <v>101243</v>
      </c>
      <c r="X70" s="18">
        <f t="shared" si="57"/>
        <v>225346</v>
      </c>
      <c r="Y70" s="62">
        <f t="shared" si="57"/>
        <v>5204</v>
      </c>
      <c r="Z70" s="62">
        <f t="shared" si="57"/>
        <v>331793</v>
      </c>
      <c r="AA70" s="62">
        <f t="shared" si="57"/>
        <v>127483</v>
      </c>
      <c r="AB70" s="62">
        <f t="shared" si="57"/>
        <v>277016</v>
      </c>
      <c r="AC70" s="62">
        <f t="shared" si="57"/>
        <v>5908</v>
      </c>
      <c r="AD70" s="62">
        <f t="shared" si="57"/>
        <v>410407</v>
      </c>
      <c r="AE70" s="62">
        <f>AE71+AE72</f>
        <v>136199</v>
      </c>
      <c r="AF70" s="62">
        <f>AF71+AF72</f>
        <v>336966</v>
      </c>
      <c r="AG70" s="18">
        <f>AG71+AG72</f>
        <v>6515</v>
      </c>
      <c r="AH70" s="18">
        <f>AH71+AH72</f>
        <v>479680</v>
      </c>
      <c r="AI70" s="18"/>
      <c r="AJ70" s="19">
        <v>8.1</v>
      </c>
      <c r="AK70" s="20"/>
      <c r="AL70" s="28" t="s">
        <v>21</v>
      </c>
    </row>
    <row r="71" spans="1:38" s="6" customFormat="1" ht="30" customHeight="1">
      <c r="A71" s="29" t="s">
        <v>67</v>
      </c>
      <c r="B71" s="15" t="s">
        <v>26</v>
      </c>
      <c r="C71" s="18">
        <v>58136</v>
      </c>
      <c r="D71" s="18">
        <v>91276</v>
      </c>
      <c r="E71" s="18">
        <v>2986</v>
      </c>
      <c r="F71" s="18">
        <f>+C71+D71+E71</f>
        <v>152398</v>
      </c>
      <c r="G71" s="18">
        <v>65917</v>
      </c>
      <c r="H71" s="18">
        <v>94079</v>
      </c>
      <c r="I71" s="18">
        <v>3272</v>
      </c>
      <c r="J71" s="18">
        <f>+G71+H71+I71</f>
        <v>163268</v>
      </c>
      <c r="K71" s="18">
        <v>70532</v>
      </c>
      <c r="L71" s="18">
        <v>117567</v>
      </c>
      <c r="M71" s="18">
        <v>3752</v>
      </c>
      <c r="N71" s="18">
        <f>+K71+L71+M71</f>
        <v>191851</v>
      </c>
      <c r="O71" s="18">
        <v>76548</v>
      </c>
      <c r="P71" s="18">
        <v>140638</v>
      </c>
      <c r="Q71" s="18">
        <v>4178</v>
      </c>
      <c r="R71" s="18">
        <f>+O71+P71+Q71</f>
        <v>221364</v>
      </c>
      <c r="S71" s="18">
        <v>87347</v>
      </c>
      <c r="T71" s="18">
        <v>176248</v>
      </c>
      <c r="U71" s="18">
        <v>4649</v>
      </c>
      <c r="V71" s="18">
        <f>+S71+T71+U71</f>
        <v>268244</v>
      </c>
      <c r="W71" s="18">
        <v>101243</v>
      </c>
      <c r="X71" s="18">
        <v>189830</v>
      </c>
      <c r="Y71" s="62">
        <v>5204</v>
      </c>
      <c r="Z71" s="62">
        <f>+W71+X71+Y71</f>
        <v>296277</v>
      </c>
      <c r="AA71" s="62">
        <v>127483</v>
      </c>
      <c r="AB71" s="62">
        <v>236535</v>
      </c>
      <c r="AC71" s="62">
        <v>5908</v>
      </c>
      <c r="AD71" s="62">
        <f>+AA71+AB71+AC71</f>
        <v>369926</v>
      </c>
      <c r="AE71" s="62">
        <v>136199</v>
      </c>
      <c r="AF71" s="62">
        <v>293762</v>
      </c>
      <c r="AG71" s="18">
        <v>6515</v>
      </c>
      <c r="AH71" s="18">
        <f>+AE71+AF71+AG71</f>
        <v>436476</v>
      </c>
      <c r="AI71" s="18"/>
      <c r="AJ71" s="20" t="s">
        <v>4</v>
      </c>
      <c r="AK71" s="19"/>
      <c r="AL71" s="28" t="s">
        <v>6</v>
      </c>
    </row>
    <row r="72" spans="1:38" s="6" customFormat="1" ht="30" customHeight="1">
      <c r="A72" s="29" t="s">
        <v>68</v>
      </c>
      <c r="B72" s="15" t="s">
        <v>27</v>
      </c>
      <c r="C72" s="18">
        <v>0</v>
      </c>
      <c r="D72" s="18">
        <f>18699+1</f>
        <v>18700</v>
      </c>
      <c r="E72" s="18">
        <v>0</v>
      </c>
      <c r="F72" s="18">
        <f>+C72+D72+E72</f>
        <v>18700</v>
      </c>
      <c r="G72" s="18">
        <v>0</v>
      </c>
      <c r="H72" s="18">
        <v>20850</v>
      </c>
      <c r="I72" s="18">
        <v>0</v>
      </c>
      <c r="J72" s="18">
        <f>+G72+H72+I72</f>
        <v>20850</v>
      </c>
      <c r="K72" s="18">
        <v>0</v>
      </c>
      <c r="L72" s="18">
        <v>25345</v>
      </c>
      <c r="M72" s="18">
        <v>0</v>
      </c>
      <c r="N72" s="18">
        <f>+K72+L72+M72</f>
        <v>25345</v>
      </c>
      <c r="O72" s="18">
        <v>0</v>
      </c>
      <c r="P72" s="18">
        <v>29831</v>
      </c>
      <c r="Q72" s="18">
        <v>0</v>
      </c>
      <c r="R72" s="18">
        <f>+O72+P72+Q72</f>
        <v>29831</v>
      </c>
      <c r="S72" s="18">
        <v>0</v>
      </c>
      <c r="T72" s="18">
        <v>30687</v>
      </c>
      <c r="U72" s="18">
        <v>0</v>
      </c>
      <c r="V72" s="18">
        <f>+S72+T72+U72</f>
        <v>30687</v>
      </c>
      <c r="W72" s="18">
        <v>0</v>
      </c>
      <c r="X72" s="18">
        <f>35517-1</f>
        <v>35516</v>
      </c>
      <c r="Y72" s="62">
        <v>0</v>
      </c>
      <c r="Z72" s="62">
        <f>+W72+X72+Y72</f>
        <v>35516</v>
      </c>
      <c r="AA72" s="62">
        <v>0</v>
      </c>
      <c r="AB72" s="62">
        <v>40481</v>
      </c>
      <c r="AC72" s="62">
        <v>0</v>
      </c>
      <c r="AD72" s="62">
        <f>+AA72+AB72+AC72</f>
        <v>40481</v>
      </c>
      <c r="AE72" s="62">
        <v>0</v>
      </c>
      <c r="AF72" s="62">
        <v>43204</v>
      </c>
      <c r="AG72" s="18">
        <v>0</v>
      </c>
      <c r="AH72" s="18">
        <f>+AE72+AF72+AG72</f>
        <v>43204</v>
      </c>
      <c r="AI72" s="18"/>
      <c r="AJ72" s="20" t="s">
        <v>5</v>
      </c>
      <c r="AK72" s="19"/>
      <c r="AL72" s="28" t="s">
        <v>7</v>
      </c>
    </row>
    <row r="73" spans="1:38" s="6" customFormat="1" ht="30" customHeight="1">
      <c r="A73" s="19">
        <v>8.2</v>
      </c>
      <c r="B73" s="15" t="s">
        <v>51</v>
      </c>
      <c r="C73" s="18">
        <f aca="true" t="shared" si="58" ref="C73:V73">C75+C76</f>
        <v>24994</v>
      </c>
      <c r="D73" s="18">
        <f t="shared" si="58"/>
        <v>204773</v>
      </c>
      <c r="E73" s="18">
        <f t="shared" si="58"/>
        <v>36309</v>
      </c>
      <c r="F73" s="18">
        <f t="shared" si="58"/>
        <v>266076</v>
      </c>
      <c r="G73" s="18">
        <f t="shared" si="58"/>
        <v>22848</v>
      </c>
      <c r="H73" s="18">
        <f t="shared" si="58"/>
        <v>245143</v>
      </c>
      <c r="I73" s="18">
        <f t="shared" si="58"/>
        <v>40993</v>
      </c>
      <c r="J73" s="18">
        <f t="shared" si="58"/>
        <v>308984</v>
      </c>
      <c r="K73" s="18">
        <f t="shared" si="58"/>
        <v>25851</v>
      </c>
      <c r="L73" s="18">
        <f t="shared" si="58"/>
        <v>295853</v>
      </c>
      <c r="M73" s="18">
        <f t="shared" si="58"/>
        <v>47695</v>
      </c>
      <c r="N73" s="18">
        <f t="shared" si="58"/>
        <v>369399</v>
      </c>
      <c r="O73" s="18">
        <f t="shared" si="58"/>
        <v>23636</v>
      </c>
      <c r="P73" s="18">
        <f t="shared" si="58"/>
        <v>360363</v>
      </c>
      <c r="Q73" s="18">
        <f t="shared" si="58"/>
        <v>56270</v>
      </c>
      <c r="R73" s="18">
        <f t="shared" si="58"/>
        <v>440269</v>
      </c>
      <c r="S73" s="18">
        <f t="shared" si="58"/>
        <v>39098</v>
      </c>
      <c r="T73" s="18">
        <f t="shared" si="58"/>
        <v>438865</v>
      </c>
      <c r="U73" s="18">
        <f t="shared" si="58"/>
        <v>68475</v>
      </c>
      <c r="V73" s="18">
        <f t="shared" si="58"/>
        <v>546438</v>
      </c>
      <c r="W73" s="18">
        <f aca="true" t="shared" si="59" ref="W73:AD73">W75+W76</f>
        <v>80295</v>
      </c>
      <c r="X73" s="18">
        <f t="shared" si="59"/>
        <v>472632</v>
      </c>
      <c r="Y73" s="62">
        <f t="shared" si="59"/>
        <v>80217</v>
      </c>
      <c r="Z73" s="62">
        <f t="shared" si="59"/>
        <v>633144</v>
      </c>
      <c r="AA73" s="62">
        <f t="shared" si="59"/>
        <v>93074</v>
      </c>
      <c r="AB73" s="62">
        <f t="shared" si="59"/>
        <v>568464</v>
      </c>
      <c r="AC73" s="62">
        <f t="shared" si="59"/>
        <v>93956</v>
      </c>
      <c r="AD73" s="62">
        <f t="shared" si="59"/>
        <v>755494</v>
      </c>
      <c r="AE73" s="62">
        <f>AE75+AE76</f>
        <v>116593</v>
      </c>
      <c r="AF73" s="62">
        <f>AF75+AF76</f>
        <v>677529</v>
      </c>
      <c r="AG73" s="18">
        <f>AG75+AG76</f>
        <v>110679</v>
      </c>
      <c r="AH73" s="18">
        <f>AH75+AH76</f>
        <v>904801</v>
      </c>
      <c r="AI73" s="18"/>
      <c r="AJ73" s="19">
        <v>8.2</v>
      </c>
      <c r="AK73" s="20"/>
      <c r="AL73" s="28" t="s">
        <v>61</v>
      </c>
    </row>
    <row r="74" spans="1:38" s="6" customFormat="1" ht="30" customHeight="1">
      <c r="A74" s="8"/>
      <c r="B74" s="15" t="s">
        <v>52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62"/>
      <c r="Z74" s="62"/>
      <c r="AA74" s="62"/>
      <c r="AB74" s="62"/>
      <c r="AC74" s="62"/>
      <c r="AD74" s="62"/>
      <c r="AE74" s="62"/>
      <c r="AF74" s="62"/>
      <c r="AG74" s="18"/>
      <c r="AH74" s="18"/>
      <c r="AI74" s="18"/>
      <c r="AJ74" s="23"/>
      <c r="AK74" s="23"/>
      <c r="AL74" s="28" t="s">
        <v>60</v>
      </c>
    </row>
    <row r="75" spans="1:38" s="6" customFormat="1" ht="30" customHeight="1">
      <c r="A75" s="29" t="s">
        <v>67</v>
      </c>
      <c r="B75" s="15" t="s">
        <v>26</v>
      </c>
      <c r="C75" s="18">
        <v>17896</v>
      </c>
      <c r="D75" s="18">
        <v>50291</v>
      </c>
      <c r="E75" s="18">
        <v>2096</v>
      </c>
      <c r="F75" s="18">
        <f>+C75+D75+E75</f>
        <v>70283</v>
      </c>
      <c r="G75" s="18">
        <v>14350</v>
      </c>
      <c r="H75" s="18">
        <f>75091+1</f>
        <v>75092</v>
      </c>
      <c r="I75" s="18">
        <f>2793-1</f>
        <v>2792</v>
      </c>
      <c r="J75" s="18">
        <f>+G75+H75+I75</f>
        <v>92234</v>
      </c>
      <c r="K75" s="18">
        <v>15365</v>
      </c>
      <c r="L75" s="18">
        <f>101197+1</f>
        <v>101198</v>
      </c>
      <c r="M75" s="18">
        <v>3619</v>
      </c>
      <c r="N75" s="18">
        <f>+K75+L75+M75</f>
        <v>120182</v>
      </c>
      <c r="O75" s="18">
        <v>10712</v>
      </c>
      <c r="P75" s="18">
        <v>129451</v>
      </c>
      <c r="Q75" s="18">
        <v>4656</v>
      </c>
      <c r="R75" s="18">
        <f>+O75+P75+Q75</f>
        <v>144819</v>
      </c>
      <c r="S75" s="18">
        <v>22699</v>
      </c>
      <c r="T75" s="18">
        <v>161078</v>
      </c>
      <c r="U75" s="18">
        <v>5778</v>
      </c>
      <c r="V75" s="18">
        <f>+S75+T75+U75</f>
        <v>189555</v>
      </c>
      <c r="W75" s="18">
        <v>58762</v>
      </c>
      <c r="X75" s="18">
        <v>152340</v>
      </c>
      <c r="Y75" s="62">
        <v>6828</v>
      </c>
      <c r="Z75" s="62">
        <f>+W75+X75+Y75</f>
        <v>217930</v>
      </c>
      <c r="AA75" s="62">
        <v>65330</v>
      </c>
      <c r="AB75" s="62">
        <v>184539</v>
      </c>
      <c r="AC75" s="62">
        <v>8300</v>
      </c>
      <c r="AD75" s="62">
        <f>+AA75+AB75+AC75</f>
        <v>258169</v>
      </c>
      <c r="AE75" s="62">
        <v>81327</v>
      </c>
      <c r="AF75" s="62">
        <v>229863</v>
      </c>
      <c r="AG75" s="18">
        <v>9707</v>
      </c>
      <c r="AH75" s="18">
        <f>+AE75+AF75+AG75</f>
        <v>320897</v>
      </c>
      <c r="AI75" s="18"/>
      <c r="AJ75" s="20" t="s">
        <v>4</v>
      </c>
      <c r="AK75" s="19"/>
      <c r="AL75" s="28" t="s">
        <v>6</v>
      </c>
    </row>
    <row r="76" spans="1:38" s="6" customFormat="1" ht="30" customHeight="1">
      <c r="A76" s="29" t="s">
        <v>68</v>
      </c>
      <c r="B76" s="15" t="s">
        <v>27</v>
      </c>
      <c r="C76" s="18">
        <v>7098</v>
      </c>
      <c r="D76" s="18">
        <v>154482</v>
      </c>
      <c r="E76" s="18">
        <v>34213</v>
      </c>
      <c r="F76" s="18">
        <f>+C76+D76+E76</f>
        <v>195793</v>
      </c>
      <c r="G76" s="18">
        <v>8498</v>
      </c>
      <c r="H76" s="18">
        <v>170051</v>
      </c>
      <c r="I76" s="18">
        <v>38201</v>
      </c>
      <c r="J76" s="18">
        <f>+G76+H76+I76</f>
        <v>216750</v>
      </c>
      <c r="K76" s="18">
        <v>10486</v>
      </c>
      <c r="L76" s="18">
        <v>194655</v>
      </c>
      <c r="M76" s="18">
        <v>44076</v>
      </c>
      <c r="N76" s="18">
        <f>+K76+L76+M76</f>
        <v>249217</v>
      </c>
      <c r="O76" s="18">
        <v>12924</v>
      </c>
      <c r="P76" s="18">
        <v>230912</v>
      </c>
      <c r="Q76" s="18">
        <v>51614</v>
      </c>
      <c r="R76" s="18">
        <f>+O76+P76+Q76</f>
        <v>295450</v>
      </c>
      <c r="S76" s="18">
        <v>16399</v>
      </c>
      <c r="T76" s="18">
        <v>277787</v>
      </c>
      <c r="U76" s="18">
        <v>62697</v>
      </c>
      <c r="V76" s="18">
        <f>+S76+T76+U76</f>
        <v>356883</v>
      </c>
      <c r="W76" s="18">
        <v>21533</v>
      </c>
      <c r="X76" s="18">
        <f>320291+1</f>
        <v>320292</v>
      </c>
      <c r="Y76" s="62">
        <v>73389</v>
      </c>
      <c r="Z76" s="62">
        <f>+W76+X76+Y76</f>
        <v>415214</v>
      </c>
      <c r="AA76" s="62">
        <v>27744</v>
      </c>
      <c r="AB76" s="62">
        <f>383923+2</f>
        <v>383925</v>
      </c>
      <c r="AC76" s="62">
        <f>85657-1</f>
        <v>85656</v>
      </c>
      <c r="AD76" s="62">
        <f>+AA76+AB76+AC76</f>
        <v>497325</v>
      </c>
      <c r="AE76" s="62">
        <v>35266</v>
      </c>
      <c r="AF76" s="62">
        <f>447665+1</f>
        <v>447666</v>
      </c>
      <c r="AG76" s="18">
        <f>100973-1</f>
        <v>100972</v>
      </c>
      <c r="AH76" s="18">
        <f>+AE76+AF76+AG76</f>
        <v>583904</v>
      </c>
      <c r="AI76" s="18"/>
      <c r="AJ76" s="20" t="s">
        <v>5</v>
      </c>
      <c r="AK76" s="19"/>
      <c r="AL76" s="28" t="s">
        <v>7</v>
      </c>
    </row>
    <row r="77" spans="1:38" s="9" customFormat="1" ht="30" customHeight="1">
      <c r="A77" s="22">
        <v>9</v>
      </c>
      <c r="B77" s="14" t="s">
        <v>62</v>
      </c>
      <c r="C77" s="16">
        <f aca="true" t="shared" si="60" ref="C77:V77">C78+C79</f>
        <v>274928</v>
      </c>
      <c r="D77" s="16">
        <f t="shared" si="60"/>
        <v>97883</v>
      </c>
      <c r="E77" s="16">
        <f t="shared" si="60"/>
        <v>38550</v>
      </c>
      <c r="F77" s="16">
        <f t="shared" si="60"/>
        <v>411361</v>
      </c>
      <c r="G77" s="16">
        <f t="shared" si="60"/>
        <v>309102</v>
      </c>
      <c r="H77" s="16">
        <f t="shared" si="60"/>
        <v>105965</v>
      </c>
      <c r="I77" s="16">
        <f t="shared" si="60"/>
        <v>44084</v>
      </c>
      <c r="J77" s="16">
        <f t="shared" si="60"/>
        <v>459151</v>
      </c>
      <c r="K77" s="16">
        <f t="shared" si="60"/>
        <v>337862</v>
      </c>
      <c r="L77" s="16">
        <f t="shared" si="60"/>
        <v>116629</v>
      </c>
      <c r="M77" s="16">
        <f t="shared" si="60"/>
        <v>50630</v>
      </c>
      <c r="N77" s="16">
        <f t="shared" si="60"/>
        <v>505121</v>
      </c>
      <c r="O77" s="16">
        <f t="shared" si="60"/>
        <v>387712</v>
      </c>
      <c r="P77" s="16">
        <f t="shared" si="60"/>
        <v>126952</v>
      </c>
      <c r="Q77" s="16">
        <f t="shared" si="60"/>
        <v>59126</v>
      </c>
      <c r="R77" s="16">
        <f t="shared" si="60"/>
        <v>573790</v>
      </c>
      <c r="S77" s="16">
        <f t="shared" si="60"/>
        <v>499568</v>
      </c>
      <c r="T77" s="16">
        <f t="shared" si="60"/>
        <v>136416</v>
      </c>
      <c r="U77" s="16">
        <f t="shared" si="60"/>
        <v>67911</v>
      </c>
      <c r="V77" s="16">
        <f t="shared" si="60"/>
        <v>703895</v>
      </c>
      <c r="W77" s="16">
        <f aca="true" t="shared" si="61" ref="W77:AD77">W78+W79</f>
        <v>635496</v>
      </c>
      <c r="X77" s="16">
        <f t="shared" si="61"/>
        <v>170032</v>
      </c>
      <c r="Y77" s="63">
        <f t="shared" si="61"/>
        <v>77505</v>
      </c>
      <c r="Z77" s="63">
        <f t="shared" si="61"/>
        <v>883033</v>
      </c>
      <c r="AA77" s="63">
        <f t="shared" si="61"/>
        <v>730221</v>
      </c>
      <c r="AB77" s="63">
        <f t="shared" si="61"/>
        <v>196561</v>
      </c>
      <c r="AC77" s="63">
        <f t="shared" si="61"/>
        <v>89329</v>
      </c>
      <c r="AD77" s="63">
        <f t="shared" si="61"/>
        <v>1016111</v>
      </c>
      <c r="AE77" s="63">
        <f>AE78+AE79</f>
        <v>837116</v>
      </c>
      <c r="AF77" s="63">
        <f>AF78+AF79</f>
        <v>226942</v>
      </c>
      <c r="AG77" s="16">
        <f>AG78+AG79</f>
        <v>103461</v>
      </c>
      <c r="AH77" s="16">
        <f>AH78+AH79</f>
        <v>1167519</v>
      </c>
      <c r="AI77" s="16"/>
      <c r="AJ77" s="22">
        <v>9</v>
      </c>
      <c r="AK77" s="17"/>
      <c r="AL77" s="21" t="s">
        <v>63</v>
      </c>
    </row>
    <row r="78" spans="1:38" s="6" customFormat="1" ht="30" customHeight="1">
      <c r="A78" s="29" t="s">
        <v>67</v>
      </c>
      <c r="B78" s="15" t="s">
        <v>26</v>
      </c>
      <c r="C78" s="18">
        <f aca="true" t="shared" si="62" ref="C78:V78">C81+C83</f>
        <v>244744</v>
      </c>
      <c r="D78" s="18">
        <f t="shared" si="62"/>
        <v>29373</v>
      </c>
      <c r="E78" s="18">
        <f t="shared" si="62"/>
        <v>35794</v>
      </c>
      <c r="F78" s="18">
        <f t="shared" si="62"/>
        <v>309911</v>
      </c>
      <c r="G78" s="18">
        <f t="shared" si="62"/>
        <v>274987</v>
      </c>
      <c r="H78" s="18">
        <f t="shared" si="62"/>
        <v>29845</v>
      </c>
      <c r="I78" s="18">
        <f t="shared" si="62"/>
        <v>40840</v>
      </c>
      <c r="J78" s="18">
        <f t="shared" si="62"/>
        <v>345672</v>
      </c>
      <c r="K78" s="18">
        <f t="shared" si="62"/>
        <v>298064</v>
      </c>
      <c r="L78" s="18">
        <f t="shared" si="62"/>
        <v>33056</v>
      </c>
      <c r="M78" s="18">
        <f t="shared" si="62"/>
        <v>46878</v>
      </c>
      <c r="N78" s="18">
        <f t="shared" si="62"/>
        <v>377998</v>
      </c>
      <c r="O78" s="18">
        <f t="shared" si="62"/>
        <v>341359</v>
      </c>
      <c r="P78" s="18">
        <f t="shared" si="62"/>
        <v>33071</v>
      </c>
      <c r="Q78" s="18">
        <f t="shared" si="62"/>
        <v>54753</v>
      </c>
      <c r="R78" s="18">
        <f t="shared" si="62"/>
        <v>429183</v>
      </c>
      <c r="S78" s="18">
        <f t="shared" si="62"/>
        <v>444146</v>
      </c>
      <c r="T78" s="18">
        <f t="shared" si="62"/>
        <v>29059</v>
      </c>
      <c r="U78" s="18">
        <f t="shared" si="62"/>
        <v>62561</v>
      </c>
      <c r="V78" s="18">
        <f t="shared" si="62"/>
        <v>535766</v>
      </c>
      <c r="W78" s="18">
        <f aca="true" t="shared" si="63" ref="W78:AD78">W81+W83</f>
        <v>566956</v>
      </c>
      <c r="X78" s="18">
        <f t="shared" si="63"/>
        <v>43831</v>
      </c>
      <c r="Y78" s="62">
        <f t="shared" si="63"/>
        <v>71500</v>
      </c>
      <c r="Z78" s="62">
        <f t="shared" si="63"/>
        <v>682287</v>
      </c>
      <c r="AA78" s="62">
        <f t="shared" si="63"/>
        <v>647507</v>
      </c>
      <c r="AB78" s="62">
        <f t="shared" si="63"/>
        <v>51797</v>
      </c>
      <c r="AC78" s="62">
        <f t="shared" si="63"/>
        <v>82345</v>
      </c>
      <c r="AD78" s="62">
        <f t="shared" si="63"/>
        <v>781649</v>
      </c>
      <c r="AE78" s="62">
        <f>AE81+AE83</f>
        <v>738741</v>
      </c>
      <c r="AF78" s="62">
        <f>AF81+AF83</f>
        <v>60546</v>
      </c>
      <c r="AG78" s="18">
        <f>AG81+AG83</f>
        <v>94856</v>
      </c>
      <c r="AH78" s="18">
        <f>AH81+AH83</f>
        <v>894143</v>
      </c>
      <c r="AI78" s="18"/>
      <c r="AJ78" s="20" t="s">
        <v>4</v>
      </c>
      <c r="AK78" s="19"/>
      <c r="AL78" s="28" t="s">
        <v>6</v>
      </c>
    </row>
    <row r="79" spans="1:38" s="6" customFormat="1" ht="30" customHeight="1">
      <c r="A79" s="29" t="s">
        <v>68</v>
      </c>
      <c r="B79" s="15" t="s">
        <v>27</v>
      </c>
      <c r="C79" s="18">
        <f aca="true" t="shared" si="64" ref="C79:V79">C84</f>
        <v>30184</v>
      </c>
      <c r="D79" s="18">
        <f t="shared" si="64"/>
        <v>68510</v>
      </c>
      <c r="E79" s="18">
        <f t="shared" si="64"/>
        <v>2756</v>
      </c>
      <c r="F79" s="18">
        <f t="shared" si="64"/>
        <v>101450</v>
      </c>
      <c r="G79" s="18">
        <f t="shared" si="64"/>
        <v>34115</v>
      </c>
      <c r="H79" s="18">
        <f t="shared" si="64"/>
        <v>76120</v>
      </c>
      <c r="I79" s="18">
        <f t="shared" si="64"/>
        <v>3244</v>
      </c>
      <c r="J79" s="18">
        <f t="shared" si="64"/>
        <v>113479</v>
      </c>
      <c r="K79" s="18">
        <f t="shared" si="64"/>
        <v>39798</v>
      </c>
      <c r="L79" s="18">
        <f t="shared" si="64"/>
        <v>83573</v>
      </c>
      <c r="M79" s="18">
        <f t="shared" si="64"/>
        <v>3752</v>
      </c>
      <c r="N79" s="18">
        <f t="shared" si="64"/>
        <v>127123</v>
      </c>
      <c r="O79" s="18">
        <f t="shared" si="64"/>
        <v>46353</v>
      </c>
      <c r="P79" s="18">
        <f t="shared" si="64"/>
        <v>93881</v>
      </c>
      <c r="Q79" s="18">
        <f t="shared" si="64"/>
        <v>4373</v>
      </c>
      <c r="R79" s="18">
        <f t="shared" si="64"/>
        <v>144607</v>
      </c>
      <c r="S79" s="18">
        <f t="shared" si="64"/>
        <v>55422</v>
      </c>
      <c r="T79" s="18">
        <f t="shared" si="64"/>
        <v>107357</v>
      </c>
      <c r="U79" s="18">
        <f t="shared" si="64"/>
        <v>5350</v>
      </c>
      <c r="V79" s="18">
        <f t="shared" si="64"/>
        <v>168129</v>
      </c>
      <c r="W79" s="18">
        <f aca="true" t="shared" si="65" ref="W79:AD79">W84</f>
        <v>68540</v>
      </c>
      <c r="X79" s="18">
        <f t="shared" si="65"/>
        <v>126201</v>
      </c>
      <c r="Y79" s="62">
        <f t="shared" si="65"/>
        <v>6005</v>
      </c>
      <c r="Z79" s="62">
        <f t="shared" si="65"/>
        <v>200746</v>
      </c>
      <c r="AA79" s="62">
        <f t="shared" si="65"/>
        <v>82714</v>
      </c>
      <c r="AB79" s="62">
        <f t="shared" si="65"/>
        <v>144764</v>
      </c>
      <c r="AC79" s="62">
        <f t="shared" si="65"/>
        <v>6984</v>
      </c>
      <c r="AD79" s="62">
        <f t="shared" si="65"/>
        <v>234462</v>
      </c>
      <c r="AE79" s="62">
        <f>AE84</f>
        <v>98375</v>
      </c>
      <c r="AF79" s="62">
        <f>AF84</f>
        <v>166396</v>
      </c>
      <c r="AG79" s="18">
        <f>AG84</f>
        <v>8605</v>
      </c>
      <c r="AH79" s="18">
        <f>AH84</f>
        <v>273376</v>
      </c>
      <c r="AI79" s="18"/>
      <c r="AJ79" s="20" t="s">
        <v>5</v>
      </c>
      <c r="AK79" s="19"/>
      <c r="AL79" s="28" t="s">
        <v>7</v>
      </c>
    </row>
    <row r="80" spans="1:38" s="6" customFormat="1" ht="30" customHeight="1">
      <c r="A80" s="19">
        <v>9.1</v>
      </c>
      <c r="B80" s="15" t="s">
        <v>40</v>
      </c>
      <c r="C80" s="18">
        <f aca="true" t="shared" si="66" ref="C80:AH80">C81</f>
        <v>149020</v>
      </c>
      <c r="D80" s="18">
        <f t="shared" si="66"/>
        <v>0</v>
      </c>
      <c r="E80" s="18">
        <f t="shared" si="66"/>
        <v>25618</v>
      </c>
      <c r="F80" s="18">
        <f t="shared" si="66"/>
        <v>174638</v>
      </c>
      <c r="G80" s="18">
        <f t="shared" si="66"/>
        <v>161435</v>
      </c>
      <c r="H80" s="18">
        <f t="shared" si="66"/>
        <v>0</v>
      </c>
      <c r="I80" s="18">
        <f t="shared" si="66"/>
        <v>28392</v>
      </c>
      <c r="J80" s="18">
        <f t="shared" si="66"/>
        <v>189827</v>
      </c>
      <c r="K80" s="18">
        <f t="shared" si="66"/>
        <v>174298</v>
      </c>
      <c r="L80" s="18">
        <f t="shared" si="66"/>
        <v>0</v>
      </c>
      <c r="M80" s="18">
        <f t="shared" si="66"/>
        <v>31783</v>
      </c>
      <c r="N80" s="18">
        <f t="shared" si="66"/>
        <v>206081</v>
      </c>
      <c r="O80" s="18">
        <f t="shared" si="66"/>
        <v>198884</v>
      </c>
      <c r="P80" s="18">
        <f t="shared" si="66"/>
        <v>0</v>
      </c>
      <c r="Q80" s="18">
        <f t="shared" si="66"/>
        <v>36108</v>
      </c>
      <c r="R80" s="18">
        <f t="shared" si="66"/>
        <v>234992</v>
      </c>
      <c r="S80" s="18">
        <f t="shared" si="66"/>
        <v>266495</v>
      </c>
      <c r="T80" s="18">
        <f t="shared" si="66"/>
        <v>0</v>
      </c>
      <c r="U80" s="18">
        <f t="shared" si="66"/>
        <v>40158</v>
      </c>
      <c r="V80" s="18">
        <f t="shared" si="66"/>
        <v>306653</v>
      </c>
      <c r="W80" s="18">
        <f t="shared" si="66"/>
        <v>358331</v>
      </c>
      <c r="X80" s="18">
        <f t="shared" si="66"/>
        <v>0</v>
      </c>
      <c r="Y80" s="62">
        <f t="shared" si="66"/>
        <v>45310</v>
      </c>
      <c r="Z80" s="62">
        <f t="shared" si="66"/>
        <v>403641</v>
      </c>
      <c r="AA80" s="62">
        <f t="shared" si="66"/>
        <v>392269</v>
      </c>
      <c r="AB80" s="62">
        <f t="shared" si="66"/>
        <v>0</v>
      </c>
      <c r="AC80" s="62">
        <f t="shared" si="66"/>
        <v>51492</v>
      </c>
      <c r="AD80" s="62">
        <f t="shared" si="66"/>
        <v>443761</v>
      </c>
      <c r="AE80" s="62">
        <f t="shared" si="66"/>
        <v>447185</v>
      </c>
      <c r="AF80" s="62">
        <f t="shared" si="66"/>
        <v>0</v>
      </c>
      <c r="AG80" s="18">
        <f t="shared" si="66"/>
        <v>58567</v>
      </c>
      <c r="AH80" s="18">
        <f t="shared" si="66"/>
        <v>505752</v>
      </c>
      <c r="AI80" s="18"/>
      <c r="AJ80" s="19">
        <v>9.1</v>
      </c>
      <c r="AK80" s="20"/>
      <c r="AL80" s="28" t="s">
        <v>53</v>
      </c>
    </row>
    <row r="81" spans="1:38" s="6" customFormat="1" ht="30" customHeight="1">
      <c r="A81" s="29" t="s">
        <v>67</v>
      </c>
      <c r="B81" s="15" t="s">
        <v>26</v>
      </c>
      <c r="C81" s="18">
        <v>149020</v>
      </c>
      <c r="D81" s="18">
        <v>0</v>
      </c>
      <c r="E81" s="18">
        <v>25618</v>
      </c>
      <c r="F81" s="18">
        <f>+C81+D81+E81</f>
        <v>174638</v>
      </c>
      <c r="G81" s="18">
        <v>161435</v>
      </c>
      <c r="H81" s="18">
        <v>0</v>
      </c>
      <c r="I81" s="18">
        <v>28392</v>
      </c>
      <c r="J81" s="18">
        <f>+G81+H81+I81</f>
        <v>189827</v>
      </c>
      <c r="K81" s="18">
        <v>174298</v>
      </c>
      <c r="L81" s="18">
        <v>0</v>
      </c>
      <c r="M81" s="18">
        <v>31783</v>
      </c>
      <c r="N81" s="18">
        <f>+K81+L81+M81</f>
        <v>206081</v>
      </c>
      <c r="O81" s="18">
        <v>198884</v>
      </c>
      <c r="P81" s="18">
        <v>0</v>
      </c>
      <c r="Q81" s="18">
        <v>36108</v>
      </c>
      <c r="R81" s="18">
        <f>+O81+P81+Q81</f>
        <v>234992</v>
      </c>
      <c r="S81" s="18">
        <v>266495</v>
      </c>
      <c r="T81" s="18">
        <v>0</v>
      </c>
      <c r="U81" s="18">
        <v>40158</v>
      </c>
      <c r="V81" s="18">
        <f>+S81+T81+U81</f>
        <v>306653</v>
      </c>
      <c r="W81" s="18">
        <v>358331</v>
      </c>
      <c r="X81" s="18">
        <v>0</v>
      </c>
      <c r="Y81" s="62">
        <v>45310</v>
      </c>
      <c r="Z81" s="62">
        <f>+W81+X81+Y81</f>
        <v>403641</v>
      </c>
      <c r="AA81" s="62">
        <v>392269</v>
      </c>
      <c r="AB81" s="62">
        <v>0</v>
      </c>
      <c r="AC81" s="62">
        <v>51492</v>
      </c>
      <c r="AD81" s="62">
        <f>+AA81+AB81+AC81</f>
        <v>443761</v>
      </c>
      <c r="AE81" s="62">
        <v>447185</v>
      </c>
      <c r="AF81" s="62">
        <v>0</v>
      </c>
      <c r="AG81" s="18">
        <f>58568-1</f>
        <v>58567</v>
      </c>
      <c r="AH81" s="18">
        <f>+AE81+AF81+AG81</f>
        <v>505752</v>
      </c>
      <c r="AI81" s="18"/>
      <c r="AJ81" s="20" t="s">
        <v>4</v>
      </c>
      <c r="AK81" s="19"/>
      <c r="AL81" s="28" t="s">
        <v>6</v>
      </c>
    </row>
    <row r="82" spans="1:38" s="6" customFormat="1" ht="30" customHeight="1">
      <c r="A82" s="19">
        <v>9.2</v>
      </c>
      <c r="B82" s="15" t="s">
        <v>41</v>
      </c>
      <c r="C82" s="18">
        <f aca="true" t="shared" si="67" ref="C82:V82">C83+C84</f>
        <v>125908</v>
      </c>
      <c r="D82" s="18">
        <f t="shared" si="67"/>
        <v>97883</v>
      </c>
      <c r="E82" s="18">
        <f t="shared" si="67"/>
        <v>12932</v>
      </c>
      <c r="F82" s="18">
        <f t="shared" si="67"/>
        <v>236723</v>
      </c>
      <c r="G82" s="18">
        <f t="shared" si="67"/>
        <v>147667</v>
      </c>
      <c r="H82" s="18">
        <f t="shared" si="67"/>
        <v>105965</v>
      </c>
      <c r="I82" s="18">
        <f t="shared" si="67"/>
        <v>15692</v>
      </c>
      <c r="J82" s="18">
        <f t="shared" si="67"/>
        <v>269324</v>
      </c>
      <c r="K82" s="18">
        <f t="shared" si="67"/>
        <v>163564</v>
      </c>
      <c r="L82" s="18">
        <f t="shared" si="67"/>
        <v>116629</v>
      </c>
      <c r="M82" s="18">
        <f t="shared" si="67"/>
        <v>18847</v>
      </c>
      <c r="N82" s="18">
        <f t="shared" si="67"/>
        <v>299040</v>
      </c>
      <c r="O82" s="18">
        <f t="shared" si="67"/>
        <v>188828</v>
      </c>
      <c r="P82" s="18">
        <f t="shared" si="67"/>
        <v>126952</v>
      </c>
      <c r="Q82" s="18">
        <f t="shared" si="67"/>
        <v>23018</v>
      </c>
      <c r="R82" s="18">
        <f t="shared" si="67"/>
        <v>338798</v>
      </c>
      <c r="S82" s="18">
        <f t="shared" si="67"/>
        <v>233073</v>
      </c>
      <c r="T82" s="18">
        <f t="shared" si="67"/>
        <v>136416</v>
      </c>
      <c r="U82" s="18">
        <f t="shared" si="67"/>
        <v>27753</v>
      </c>
      <c r="V82" s="18">
        <f t="shared" si="67"/>
        <v>397242</v>
      </c>
      <c r="W82" s="18">
        <f aca="true" t="shared" si="68" ref="W82:AD82">W83+W84</f>
        <v>277165</v>
      </c>
      <c r="X82" s="18">
        <f t="shared" si="68"/>
        <v>170032</v>
      </c>
      <c r="Y82" s="62">
        <f t="shared" si="68"/>
        <v>32195</v>
      </c>
      <c r="Z82" s="62">
        <f t="shared" si="68"/>
        <v>479392</v>
      </c>
      <c r="AA82" s="62">
        <f t="shared" si="68"/>
        <v>337952</v>
      </c>
      <c r="AB82" s="62">
        <f t="shared" si="68"/>
        <v>196561</v>
      </c>
      <c r="AC82" s="62">
        <f t="shared" si="68"/>
        <v>37837</v>
      </c>
      <c r="AD82" s="62">
        <f t="shared" si="68"/>
        <v>572350</v>
      </c>
      <c r="AE82" s="62">
        <f>AE83+AE84</f>
        <v>389931</v>
      </c>
      <c r="AF82" s="62">
        <f>AF83+AF84</f>
        <v>226942</v>
      </c>
      <c r="AG82" s="18">
        <f>AG83+AG84</f>
        <v>44894</v>
      </c>
      <c r="AH82" s="18">
        <f>AH83+AH84</f>
        <v>661767</v>
      </c>
      <c r="AI82" s="18"/>
      <c r="AJ82" s="19">
        <v>9.2</v>
      </c>
      <c r="AK82" s="20"/>
      <c r="AL82" s="28" t="s">
        <v>22</v>
      </c>
    </row>
    <row r="83" spans="1:38" s="6" customFormat="1" ht="30" customHeight="1">
      <c r="A83" s="29" t="s">
        <v>67</v>
      </c>
      <c r="B83" s="15" t="s">
        <v>26</v>
      </c>
      <c r="C83" s="18">
        <v>95724</v>
      </c>
      <c r="D83" s="18">
        <f>29372+1</f>
        <v>29373</v>
      </c>
      <c r="E83" s="18">
        <v>10176</v>
      </c>
      <c r="F83" s="18">
        <f>+C83+D83+E83</f>
        <v>135273</v>
      </c>
      <c r="G83" s="18">
        <v>113552</v>
      </c>
      <c r="H83" s="18">
        <f>29844+1</f>
        <v>29845</v>
      </c>
      <c r="I83" s="18">
        <v>12448</v>
      </c>
      <c r="J83" s="18">
        <f>+G83+H83+I83</f>
        <v>155845</v>
      </c>
      <c r="K83" s="18">
        <v>123766</v>
      </c>
      <c r="L83" s="18">
        <v>33056</v>
      </c>
      <c r="M83" s="18">
        <v>15095</v>
      </c>
      <c r="N83" s="18">
        <f>+K83+L83+M83</f>
        <v>171917</v>
      </c>
      <c r="O83" s="18">
        <v>142475</v>
      </c>
      <c r="P83" s="18">
        <v>33071</v>
      </c>
      <c r="Q83" s="18">
        <v>18645</v>
      </c>
      <c r="R83" s="18">
        <f>+O83+P83+Q83</f>
        <v>194191</v>
      </c>
      <c r="S83" s="18">
        <v>177651</v>
      </c>
      <c r="T83" s="18">
        <v>29059</v>
      </c>
      <c r="U83" s="18">
        <v>22403</v>
      </c>
      <c r="V83" s="18">
        <f>+S83+T83+U83</f>
        <v>229113</v>
      </c>
      <c r="W83" s="18">
        <v>208625</v>
      </c>
      <c r="X83" s="18">
        <v>43831</v>
      </c>
      <c r="Y83" s="62">
        <v>26190</v>
      </c>
      <c r="Z83" s="62">
        <f>+W83+X83+Y83</f>
        <v>278646</v>
      </c>
      <c r="AA83" s="62">
        <v>255238</v>
      </c>
      <c r="AB83" s="62">
        <v>51797</v>
      </c>
      <c r="AC83" s="62">
        <v>30853</v>
      </c>
      <c r="AD83" s="62">
        <f>+AA83+AB83+AC83</f>
        <v>337888</v>
      </c>
      <c r="AE83" s="62">
        <v>291556</v>
      </c>
      <c r="AF83" s="62">
        <v>60546</v>
      </c>
      <c r="AG83" s="18">
        <v>36289</v>
      </c>
      <c r="AH83" s="18">
        <f>+AE83+AF83+AG83</f>
        <v>388391</v>
      </c>
      <c r="AI83" s="18"/>
      <c r="AJ83" s="20" t="s">
        <v>4</v>
      </c>
      <c r="AK83" s="19"/>
      <c r="AL83" s="28" t="s">
        <v>6</v>
      </c>
    </row>
    <row r="84" spans="1:38" s="6" customFormat="1" ht="30" customHeight="1">
      <c r="A84" s="29" t="s">
        <v>68</v>
      </c>
      <c r="B84" s="15" t="s">
        <v>27</v>
      </c>
      <c r="C84" s="18">
        <v>30184</v>
      </c>
      <c r="D84" s="18">
        <v>68510</v>
      </c>
      <c r="E84" s="18">
        <v>2756</v>
      </c>
      <c r="F84" s="18">
        <f>+C84+D84+E84</f>
        <v>101450</v>
      </c>
      <c r="G84" s="18">
        <v>34115</v>
      </c>
      <c r="H84" s="18">
        <v>76120</v>
      </c>
      <c r="I84" s="18">
        <v>3244</v>
      </c>
      <c r="J84" s="18">
        <f>+G84+H84+I84</f>
        <v>113479</v>
      </c>
      <c r="K84" s="18">
        <v>39798</v>
      </c>
      <c r="L84" s="18">
        <v>83573</v>
      </c>
      <c r="M84" s="18">
        <v>3752</v>
      </c>
      <c r="N84" s="18">
        <f>+K84+L84+M84</f>
        <v>127123</v>
      </c>
      <c r="O84" s="18">
        <v>46353</v>
      </c>
      <c r="P84" s="18">
        <v>93881</v>
      </c>
      <c r="Q84" s="18">
        <v>4373</v>
      </c>
      <c r="R84" s="18">
        <f>+O84+P84+Q84</f>
        <v>144607</v>
      </c>
      <c r="S84" s="18">
        <v>55422</v>
      </c>
      <c r="T84" s="18">
        <f>107358-1</f>
        <v>107357</v>
      </c>
      <c r="U84" s="18">
        <v>5350</v>
      </c>
      <c r="V84" s="18">
        <f>+S84+T84+U84</f>
        <v>168129</v>
      </c>
      <c r="W84" s="18">
        <v>68540</v>
      </c>
      <c r="X84" s="18">
        <v>126201</v>
      </c>
      <c r="Y84" s="62">
        <v>6005</v>
      </c>
      <c r="Z84" s="62">
        <f>+W84+X84+Y84</f>
        <v>200746</v>
      </c>
      <c r="AA84" s="62">
        <v>82714</v>
      </c>
      <c r="AB84" s="62">
        <v>144764</v>
      </c>
      <c r="AC84" s="62">
        <v>6984</v>
      </c>
      <c r="AD84" s="62">
        <f>+AA84+AB84+AC84</f>
        <v>234462</v>
      </c>
      <c r="AE84" s="62">
        <v>98375</v>
      </c>
      <c r="AF84" s="62">
        <v>166396</v>
      </c>
      <c r="AG84" s="18">
        <v>8605</v>
      </c>
      <c r="AH84" s="18">
        <f>+AE84+AF84+AG84</f>
        <v>273376</v>
      </c>
      <c r="AI84" s="18"/>
      <c r="AJ84" s="20" t="s">
        <v>5</v>
      </c>
      <c r="AK84" s="19"/>
      <c r="AL84" s="28" t="s">
        <v>7</v>
      </c>
    </row>
    <row r="85" spans="1:38" s="6" customFormat="1" ht="30" customHeight="1">
      <c r="A85" s="22">
        <v>10</v>
      </c>
      <c r="B85" s="45" t="s">
        <v>42</v>
      </c>
      <c r="C85" s="63">
        <f aca="true" t="shared" si="69" ref="C85:V85">C9+C21+C24+C27+C30+C33+C52+C66+C77</f>
        <v>912533.3179257924</v>
      </c>
      <c r="D85" s="63">
        <f t="shared" si="69"/>
        <v>1739039.7932822597</v>
      </c>
      <c r="E85" s="63">
        <f t="shared" si="69"/>
        <v>319891</v>
      </c>
      <c r="F85" s="63">
        <f t="shared" si="69"/>
        <v>2971464.1112080524</v>
      </c>
      <c r="G85" s="63">
        <f t="shared" si="69"/>
        <v>1014284</v>
      </c>
      <c r="H85" s="63">
        <f t="shared" si="69"/>
        <v>2012497.5639896162</v>
      </c>
      <c r="I85" s="63">
        <f t="shared" si="69"/>
        <v>363721</v>
      </c>
      <c r="J85" s="63">
        <f t="shared" si="69"/>
        <v>3390502.563989616</v>
      </c>
      <c r="K85" s="63">
        <f t="shared" si="69"/>
        <v>1137824.2141904747</v>
      </c>
      <c r="L85" s="63">
        <f t="shared" si="69"/>
        <v>2396723.012454301</v>
      </c>
      <c r="M85" s="63">
        <f t="shared" si="69"/>
        <v>418729</v>
      </c>
      <c r="N85" s="63">
        <f t="shared" si="69"/>
        <v>3953276.226644776</v>
      </c>
      <c r="O85" s="63">
        <f t="shared" si="69"/>
        <v>1323180</v>
      </c>
      <c r="P85" s="63">
        <f t="shared" si="69"/>
        <v>2774210</v>
      </c>
      <c r="Q85" s="63">
        <f t="shared" si="69"/>
        <v>484696</v>
      </c>
      <c r="R85" s="63">
        <f t="shared" si="69"/>
        <v>4582086</v>
      </c>
      <c r="S85" s="63">
        <f t="shared" si="69"/>
        <v>1652437</v>
      </c>
      <c r="T85" s="63">
        <f t="shared" si="69"/>
        <v>3085933</v>
      </c>
      <c r="U85" s="63">
        <f t="shared" si="69"/>
        <v>565197</v>
      </c>
      <c r="V85" s="63">
        <f t="shared" si="69"/>
        <v>5303567</v>
      </c>
      <c r="W85" s="63">
        <f aca="true" t="shared" si="70" ref="W85:AD85">W9+W21+W24+W27+W30+W33+W52+W66+W77</f>
        <v>1962330</v>
      </c>
      <c r="X85" s="63">
        <f t="shared" si="70"/>
        <v>3486775</v>
      </c>
      <c r="Y85" s="63">
        <f t="shared" si="70"/>
        <v>659798.6143146434</v>
      </c>
      <c r="Z85" s="63">
        <f t="shared" si="70"/>
        <v>6108903.614314644</v>
      </c>
      <c r="AA85" s="63">
        <f t="shared" si="70"/>
        <v>2310281</v>
      </c>
      <c r="AB85" s="63">
        <f t="shared" si="70"/>
        <v>4193886</v>
      </c>
      <c r="AC85" s="63">
        <f t="shared" si="70"/>
        <v>762798.9117729651</v>
      </c>
      <c r="AD85" s="63">
        <f t="shared" si="70"/>
        <v>7266965.911772965</v>
      </c>
      <c r="AE85" s="63">
        <f>AE9+AE21+AE24+AE27+AE30+AE33+AE52+AE66+AE77</f>
        <v>2648669</v>
      </c>
      <c r="AF85" s="63">
        <f>AF9+AF21+AF24+AF27+AF30+AF33+AF52+AF66+AF77</f>
        <v>4828096</v>
      </c>
      <c r="AG85" s="63">
        <f>AG9+AG21+AG24+AG27+AG30+AG33+AG52+AG66+AG77</f>
        <v>876729.5863091304</v>
      </c>
      <c r="AH85" s="63">
        <f>AH9+AH21+AH24+AH27+AH30+AH33+AH52+AH66+AH77</f>
        <v>8353494.58630913</v>
      </c>
      <c r="AI85" s="16"/>
      <c r="AJ85" s="22">
        <v>10</v>
      </c>
      <c r="AK85" s="17"/>
      <c r="AL85" s="46" t="s">
        <v>23</v>
      </c>
    </row>
    <row r="86" spans="1:38" s="6" customFormat="1" ht="30" customHeight="1">
      <c r="A86" s="29" t="s">
        <v>67</v>
      </c>
      <c r="B86" s="14" t="s">
        <v>26</v>
      </c>
      <c r="C86" s="63">
        <f aca="true" t="shared" si="71" ref="C86:V86">C10+C22+C25+C28+C31+C34+C53+C68+C78</f>
        <v>585917.5191421172</v>
      </c>
      <c r="D86" s="63">
        <f t="shared" si="71"/>
        <v>504099.79830208694</v>
      </c>
      <c r="E86" s="63">
        <f t="shared" si="71"/>
        <v>209769</v>
      </c>
      <c r="F86" s="63">
        <f t="shared" si="71"/>
        <v>1299786.3174442041</v>
      </c>
      <c r="G86" s="63">
        <f t="shared" si="71"/>
        <v>657595</v>
      </c>
      <c r="H86" s="63">
        <f t="shared" si="71"/>
        <v>618885.5580591088</v>
      </c>
      <c r="I86" s="63">
        <f t="shared" si="71"/>
        <v>239615</v>
      </c>
      <c r="J86" s="63">
        <f t="shared" si="71"/>
        <v>1516095.558059109</v>
      </c>
      <c r="K86" s="63">
        <f t="shared" si="71"/>
        <v>719307.2141904747</v>
      </c>
      <c r="L86" s="63">
        <f t="shared" si="71"/>
        <v>786543.5626022451</v>
      </c>
      <c r="M86" s="63">
        <f t="shared" si="71"/>
        <v>276367</v>
      </c>
      <c r="N86" s="63">
        <f t="shared" si="71"/>
        <v>1782217.77679272</v>
      </c>
      <c r="O86" s="63">
        <f t="shared" si="71"/>
        <v>827160</v>
      </c>
      <c r="P86" s="63">
        <f t="shared" si="71"/>
        <v>910217</v>
      </c>
      <c r="Q86" s="63">
        <f t="shared" si="71"/>
        <v>322810</v>
      </c>
      <c r="R86" s="63">
        <f t="shared" si="71"/>
        <v>2060187</v>
      </c>
      <c r="S86" s="63">
        <f t="shared" si="71"/>
        <v>1048967</v>
      </c>
      <c r="T86" s="63">
        <f t="shared" si="71"/>
        <v>957181</v>
      </c>
      <c r="U86" s="63">
        <f t="shared" si="71"/>
        <v>371089</v>
      </c>
      <c r="V86" s="63">
        <f t="shared" si="71"/>
        <v>2377237</v>
      </c>
      <c r="W86" s="63">
        <f aca="true" t="shared" si="72" ref="W86:AD86">W10+W22+W25+W28+W31+W34+W53+W68+W78</f>
        <v>1283272</v>
      </c>
      <c r="X86" s="63">
        <f t="shared" si="72"/>
        <v>1069061</v>
      </c>
      <c r="Y86" s="63">
        <f t="shared" si="72"/>
        <v>430582.6143146435</v>
      </c>
      <c r="Z86" s="63">
        <f t="shared" si="72"/>
        <v>2782915.6143146437</v>
      </c>
      <c r="AA86" s="63">
        <f t="shared" si="72"/>
        <v>1488952</v>
      </c>
      <c r="AB86" s="63">
        <f t="shared" si="72"/>
        <v>1282293</v>
      </c>
      <c r="AC86" s="63">
        <f t="shared" si="72"/>
        <v>490903.91177296516</v>
      </c>
      <c r="AD86" s="63">
        <f t="shared" si="72"/>
        <v>3262148.9117729655</v>
      </c>
      <c r="AE86" s="63">
        <f>AE10+AE22+AE25+AE28+AE31+AE34+AE53+AE68+AE78</f>
        <v>1692445</v>
      </c>
      <c r="AF86" s="63">
        <f>AF10+AF22+AF25+AF28+AF31+AF34+AF53+AF68+AF78</f>
        <v>1501965</v>
      </c>
      <c r="AG86" s="63">
        <f>AG10+AG22+AG25+AG28+AG31+AG34+AG53+AG68+AG78</f>
        <v>563044.5863091304</v>
      </c>
      <c r="AH86" s="63">
        <f>AH10+AH22+AH25+AH28+AH31+AH34+AH53+AH68+AH78</f>
        <v>3757454.5863091303</v>
      </c>
      <c r="AI86" s="16"/>
      <c r="AJ86" s="48" t="s">
        <v>4</v>
      </c>
      <c r="AK86" s="17"/>
      <c r="AL86" s="21" t="s">
        <v>6</v>
      </c>
    </row>
    <row r="87" spans="1:38" s="6" customFormat="1" ht="30" customHeight="1">
      <c r="A87" s="50" t="s">
        <v>68</v>
      </c>
      <c r="B87" s="38" t="s">
        <v>27</v>
      </c>
      <c r="C87" s="64">
        <f aca="true" t="shared" si="73" ref="C87:V87">C11+C23+C26+C29+C32+C35+C54+C69+C84</f>
        <v>326615.7987836752</v>
      </c>
      <c r="D87" s="64">
        <f t="shared" si="73"/>
        <v>1234939.9949801727</v>
      </c>
      <c r="E87" s="64">
        <f t="shared" si="73"/>
        <v>110122</v>
      </c>
      <c r="F87" s="64">
        <f t="shared" si="73"/>
        <v>1671677.793763848</v>
      </c>
      <c r="G87" s="64">
        <f t="shared" si="73"/>
        <v>356689</v>
      </c>
      <c r="H87" s="64">
        <f t="shared" si="73"/>
        <v>1393612.0059305076</v>
      </c>
      <c r="I87" s="64">
        <f t="shared" si="73"/>
        <v>124106</v>
      </c>
      <c r="J87" s="64">
        <f t="shared" si="73"/>
        <v>1874407.0059305076</v>
      </c>
      <c r="K87" s="64">
        <f t="shared" si="73"/>
        <v>418517</v>
      </c>
      <c r="L87" s="64">
        <f t="shared" si="73"/>
        <v>1610179.449852056</v>
      </c>
      <c r="M87" s="64">
        <f t="shared" si="73"/>
        <v>142362</v>
      </c>
      <c r="N87" s="64">
        <f t="shared" si="73"/>
        <v>2171058.449852056</v>
      </c>
      <c r="O87" s="64">
        <f t="shared" si="73"/>
        <v>496020</v>
      </c>
      <c r="P87" s="64">
        <f t="shared" si="73"/>
        <v>1863993</v>
      </c>
      <c r="Q87" s="64">
        <f t="shared" si="73"/>
        <v>161886</v>
      </c>
      <c r="R87" s="64">
        <f t="shared" si="73"/>
        <v>2521899</v>
      </c>
      <c r="S87" s="64">
        <f t="shared" si="73"/>
        <v>603470</v>
      </c>
      <c r="T87" s="64">
        <f t="shared" si="73"/>
        <v>2128752</v>
      </c>
      <c r="U87" s="64">
        <f t="shared" si="73"/>
        <v>194108</v>
      </c>
      <c r="V87" s="64">
        <f t="shared" si="73"/>
        <v>2926330</v>
      </c>
      <c r="W87" s="64">
        <f aca="true" t="shared" si="74" ref="W87:AD87">W11+W23+W26+W29+W32+W35+W54+W69+W84</f>
        <v>679058</v>
      </c>
      <c r="X87" s="64">
        <f t="shared" si="74"/>
        <v>2417714</v>
      </c>
      <c r="Y87" s="64">
        <f t="shared" si="74"/>
        <v>229216</v>
      </c>
      <c r="Z87" s="64">
        <f t="shared" si="74"/>
        <v>3325988</v>
      </c>
      <c r="AA87" s="64">
        <f t="shared" si="74"/>
        <v>821329</v>
      </c>
      <c r="AB87" s="64">
        <f t="shared" si="74"/>
        <v>2911593</v>
      </c>
      <c r="AC87" s="64">
        <f t="shared" si="74"/>
        <v>271895</v>
      </c>
      <c r="AD87" s="64">
        <f t="shared" si="74"/>
        <v>4004817</v>
      </c>
      <c r="AE87" s="64">
        <f>AE11+AE23+AE26+AE29+AE32+AE35+AE54+AE69+AE84</f>
        <v>956224</v>
      </c>
      <c r="AF87" s="64">
        <f>AF11+AF23+AF26+AF29+AF32+AF35+AF54+AF69+AF84</f>
        <v>3326131</v>
      </c>
      <c r="AG87" s="64">
        <f>AG11+AG23+AG26+AG29+AG32+AG35+AG54+AG69+AG84</f>
        <v>313685</v>
      </c>
      <c r="AH87" s="64">
        <f>AH11+AH23+AH26+AH29+AH32+AH35+AH54+AH69+AH84</f>
        <v>4596040</v>
      </c>
      <c r="AI87" s="36"/>
      <c r="AJ87" s="49" t="s">
        <v>5</v>
      </c>
      <c r="AK87" s="37"/>
      <c r="AL87" s="39" t="s">
        <v>7</v>
      </c>
    </row>
    <row r="88" spans="1:38" s="6" customFormat="1" ht="15" customHeight="1">
      <c r="A88" s="45" t="s">
        <v>87</v>
      </c>
      <c r="C88" s="45" t="s">
        <v>88</v>
      </c>
      <c r="D88" s="18"/>
      <c r="E88" s="18"/>
      <c r="F88" s="45" t="s">
        <v>95</v>
      </c>
      <c r="G88" s="18"/>
      <c r="H88" s="18"/>
      <c r="I88" s="18"/>
      <c r="J88" s="18"/>
      <c r="K88" s="18"/>
      <c r="L88" s="18"/>
      <c r="M88" s="18"/>
      <c r="N88" s="18"/>
      <c r="P88" s="18"/>
      <c r="Q88" s="18"/>
      <c r="R88" s="18"/>
      <c r="S88" s="16" t="s">
        <v>82</v>
      </c>
      <c r="U88" s="16"/>
      <c r="V88" s="18"/>
      <c r="W88" s="16" t="s">
        <v>83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J88" s="7"/>
      <c r="AK88" s="7"/>
      <c r="AL88" s="61" t="s">
        <v>84</v>
      </c>
    </row>
    <row r="89" spans="1:37" s="6" customFormat="1" ht="19.5" customHeight="1">
      <c r="A89" s="45" t="s">
        <v>89</v>
      </c>
      <c r="B89" s="45"/>
      <c r="C89" s="22"/>
      <c r="D89" s="22"/>
      <c r="E89" s="22"/>
      <c r="F89" s="22"/>
      <c r="H89" s="22"/>
      <c r="I89" s="22"/>
      <c r="J89" s="22"/>
      <c r="K89" s="22"/>
      <c r="L89" s="22"/>
      <c r="M89" s="22"/>
      <c r="N89" s="22"/>
      <c r="P89" s="22"/>
      <c r="Q89" s="22"/>
      <c r="R89" s="22"/>
      <c r="S89" s="22" t="s">
        <v>90</v>
      </c>
      <c r="V89" s="22"/>
      <c r="W89" s="16" t="s">
        <v>85</v>
      </c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13"/>
    </row>
    <row r="90" s="25" customFormat="1" ht="12"/>
    <row r="91" s="25" customFormat="1" ht="11.25" customHeight="1"/>
    <row r="92" s="25" customFormat="1" ht="12">
      <c r="B92" s="56"/>
    </row>
    <row r="93" s="27" customFormat="1" ht="12"/>
    <row r="95" s="27" customFormat="1" ht="12">
      <c r="B95" s="56"/>
    </row>
    <row r="98" s="27" customFormat="1" ht="12">
      <c r="B98" s="56"/>
    </row>
    <row r="99" s="27" customFormat="1" ht="12"/>
    <row r="101" s="27" customFormat="1" ht="12">
      <c r="B101" s="66"/>
    </row>
    <row r="104" spans="2:10" ht="12">
      <c r="B104" s="65"/>
      <c r="C104" s="67"/>
      <c r="D104" s="67"/>
      <c r="E104" s="67"/>
      <c r="F104" s="67"/>
      <c r="G104" s="67"/>
      <c r="H104" s="67"/>
      <c r="I104" s="67"/>
      <c r="J104" s="67"/>
    </row>
    <row r="106" spans="3:10" ht="12">
      <c r="C106" s="67"/>
      <c r="D106" s="67"/>
      <c r="E106" s="67"/>
      <c r="F106" s="67"/>
      <c r="G106" s="67"/>
      <c r="H106" s="67"/>
      <c r="I106" s="67"/>
      <c r="J106" s="67"/>
    </row>
  </sheetData>
  <sheetProtection/>
  <mergeCells count="47">
    <mergeCell ref="AA4:AD4"/>
    <mergeCell ref="AC5:AC6"/>
    <mergeCell ref="AA47:AD47"/>
    <mergeCell ref="AC48:AC49"/>
    <mergeCell ref="AE4:AH4"/>
    <mergeCell ref="AG5:AG6"/>
    <mergeCell ref="AE47:AH47"/>
    <mergeCell ref="AG48:AG49"/>
    <mergeCell ref="AI47:AL50"/>
    <mergeCell ref="S46:T46"/>
    <mergeCell ref="O44:AL44"/>
    <mergeCell ref="O45:AL45"/>
    <mergeCell ref="O47:R47"/>
    <mergeCell ref="S47:V47"/>
    <mergeCell ref="W47:Z47"/>
    <mergeCell ref="Y48:Y49"/>
    <mergeCell ref="A51:B51"/>
    <mergeCell ref="A47:B50"/>
    <mergeCell ref="A45:N45"/>
    <mergeCell ref="O46:R46"/>
    <mergeCell ref="C47:F47"/>
    <mergeCell ref="K47:N47"/>
    <mergeCell ref="AI51:AL51"/>
    <mergeCell ref="AI4:AL7"/>
    <mergeCell ref="AI8:AL8"/>
    <mergeCell ref="G4:J4"/>
    <mergeCell ref="O4:R4"/>
    <mergeCell ref="S4:V4"/>
    <mergeCell ref="K4:N4"/>
    <mergeCell ref="G47:J47"/>
    <mergeCell ref="A44:N44"/>
    <mergeCell ref="C4:F4"/>
    <mergeCell ref="O1:AL1"/>
    <mergeCell ref="O2:AL2"/>
    <mergeCell ref="A1:N1"/>
    <mergeCell ref="A2:N2"/>
    <mergeCell ref="W4:Z4"/>
    <mergeCell ref="Y5:Y6"/>
    <mergeCell ref="A8:B8"/>
    <mergeCell ref="A4:B7"/>
    <mergeCell ref="E5:E6"/>
    <mergeCell ref="M5:M6"/>
    <mergeCell ref="S3:T3"/>
    <mergeCell ref="C3:E3"/>
    <mergeCell ref="Q5:Q6"/>
    <mergeCell ref="U5:U6"/>
    <mergeCell ref="O3:R3"/>
  </mergeCells>
  <printOptions horizontalCentered="1"/>
  <pageMargins left="0.75" right="0.75" top="1" bottom="1" header="0.46" footer="0.46"/>
  <pageSetup firstPageNumber="198" useFirstPageNumber="1" fitToWidth="2" horizontalDpi="600" verticalDpi="600" orientation="portrait" pageOrder="overThenDown" paperSize="9" scale="48" r:id="rId1"/>
  <headerFooter alignWithMargins="0">
    <oddHeader>&amp;R&amp;"Arial Narrow,Bold"&amp;20&amp;P</oddHeader>
    <oddFooter xml:space="preserve">&amp;Lपूर्णांकन के कारण योग मिलान नहीं होना संभावित है।&amp;RTotals may not tally due to rounding off. </oddFooter>
  </headerFooter>
  <rowBreaks count="1" manualBreakCount="1">
    <brk id="43" max="255" man="1"/>
  </rowBreaks>
  <colBreaks count="1" manualBreakCount="1">
    <brk id="18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2013-08-30T06:55:33Z</cp:lastPrinted>
  <dcterms:created xsi:type="dcterms:W3CDTF">1997-04-30T06:02:56Z</dcterms:created>
  <dcterms:modified xsi:type="dcterms:W3CDTF">2013-08-30T06:57:57Z</dcterms:modified>
  <cp:category/>
  <cp:version/>
  <cp:contentType/>
  <cp:contentStatus/>
</cp:coreProperties>
</file>