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00" activeTab="1"/>
  </bookViews>
  <sheets>
    <sheet name="T 21.4 All india" sheetId="1" r:id="rId1"/>
    <sheet name="T 21.4 state-wise" sheetId="2" r:id="rId2"/>
    <sheet name="Working sheet" sheetId="3" r:id="rId3"/>
  </sheets>
  <definedNames>
    <definedName name="\x" localSheetId="1">'T 21.4 state-wise'!#REF!</definedName>
    <definedName name="\x">'T 21.4 All india'!#REF!</definedName>
    <definedName name="\z" localSheetId="1">'T 21.4 state-wise'!#REF!</definedName>
    <definedName name="\z">'T 21.4 All india'!#REF!</definedName>
    <definedName name="_Regression_Int" localSheetId="0" hidden="1">1</definedName>
    <definedName name="_Regression_Int" localSheetId="1" hidden="1">1</definedName>
    <definedName name="_xlnm.Print_Area" localSheetId="0">'T 21.4 All india'!$A$1:$K$33</definedName>
    <definedName name="_xlnm.Print_Area" localSheetId="1">'T 21.4 state-wise'!$A$1:$CC$59</definedName>
    <definedName name="Print_Area_MI" localSheetId="0">'T 21.4 All india'!$A$1:$K$28</definedName>
    <definedName name="Print_Area_MI" localSheetId="1">'T 21.4 state-wise'!$A$1:$BV$54</definedName>
    <definedName name="_xlnm.Print_Titles" localSheetId="1">'T 21.4 state-wise'!$A:$A</definedName>
  </definedNames>
  <calcPr calcId="124519" iterate="1" iterateCount="1"/>
</workbook>
</file>

<file path=xl/calcChain.xml><?xml version="1.0" encoding="utf-8"?>
<calcChain xmlns="http://schemas.openxmlformats.org/spreadsheetml/2006/main">
  <c r="R47" i="3"/>
  <c r="P47"/>
  <c r="O47"/>
  <c r="N47"/>
  <c r="M47"/>
  <c r="S47" s="1"/>
  <c r="L47"/>
  <c r="K47"/>
  <c r="Q47" s="1"/>
  <c r="J47"/>
  <c r="G47"/>
  <c r="F47"/>
  <c r="E47"/>
  <c r="H47" s="1"/>
  <c r="D47"/>
  <c r="C47"/>
  <c r="I47" s="1"/>
  <c r="B47"/>
  <c r="S46"/>
  <c r="R46"/>
  <c r="Q46"/>
  <c r="J46"/>
  <c r="I46"/>
  <c r="H46"/>
  <c r="S45"/>
  <c r="R45"/>
  <c r="Q45"/>
  <c r="J45"/>
  <c r="I45"/>
  <c r="H45"/>
  <c r="S44"/>
  <c r="R44"/>
  <c r="Q44"/>
  <c r="J44"/>
  <c r="I44"/>
  <c r="H44"/>
  <c r="S43"/>
  <c r="R43"/>
  <c r="Q43"/>
  <c r="J43"/>
  <c r="I43"/>
  <c r="H43"/>
  <c r="S42"/>
  <c r="R42"/>
  <c r="Q42"/>
  <c r="J42"/>
  <c r="I42"/>
  <c r="H42"/>
  <c r="S41"/>
  <c r="R41"/>
  <c r="Q41"/>
  <c r="J41"/>
  <c r="I41"/>
  <c r="H41"/>
  <c r="S40"/>
  <c r="R40"/>
  <c r="Q40"/>
  <c r="J40"/>
  <c r="I40"/>
  <c r="H40"/>
  <c r="S39"/>
  <c r="R39"/>
  <c r="Q39"/>
  <c r="J39"/>
  <c r="I39"/>
  <c r="H39"/>
  <c r="S38"/>
  <c r="R38"/>
  <c r="Q38"/>
  <c r="J38"/>
  <c r="I38"/>
  <c r="H38"/>
  <c r="S37"/>
  <c r="R37"/>
  <c r="Q37"/>
  <c r="J37"/>
  <c r="I37"/>
  <c r="H37"/>
  <c r="S36"/>
  <c r="R36"/>
  <c r="Q36"/>
  <c r="J36"/>
  <c r="I36"/>
  <c r="H36"/>
  <c r="S35"/>
  <c r="R35"/>
  <c r="Q35"/>
  <c r="J35"/>
  <c r="I35"/>
  <c r="H35"/>
  <c r="S34"/>
  <c r="R34"/>
  <c r="Q34"/>
  <c r="J34"/>
  <c r="I34"/>
  <c r="H34"/>
  <c r="S33"/>
  <c r="R33"/>
  <c r="Q33"/>
  <c r="J33"/>
  <c r="I33"/>
  <c r="H33"/>
  <c r="S32"/>
  <c r="R32"/>
  <c r="Q32"/>
  <c r="J32"/>
  <c r="I32"/>
  <c r="H32"/>
  <c r="S31"/>
  <c r="R31"/>
  <c r="Q31"/>
  <c r="J31"/>
  <c r="I31"/>
  <c r="H31"/>
  <c r="S30"/>
  <c r="R30"/>
  <c r="Q30"/>
  <c r="J30"/>
  <c r="I30"/>
  <c r="H30"/>
  <c r="S29"/>
  <c r="R29"/>
  <c r="Q29"/>
  <c r="J29"/>
  <c r="I29"/>
  <c r="H29"/>
  <c r="S28"/>
  <c r="R28"/>
  <c r="Q28"/>
  <c r="J28"/>
  <c r="I28"/>
  <c r="H28"/>
  <c r="S27"/>
  <c r="R27"/>
  <c r="Q27"/>
  <c r="J27"/>
  <c r="I27"/>
  <c r="H27"/>
  <c r="S26"/>
  <c r="R26"/>
  <c r="Q26"/>
  <c r="J26"/>
  <c r="I26"/>
  <c r="H26"/>
  <c r="S25"/>
  <c r="R25"/>
  <c r="Q25"/>
  <c r="J25"/>
  <c r="I25"/>
  <c r="H25"/>
  <c r="S24"/>
  <c r="R24"/>
  <c r="Q24"/>
  <c r="J24"/>
  <c r="I24"/>
  <c r="H24"/>
  <c r="S23"/>
  <c r="R23"/>
  <c r="Q23"/>
  <c r="J23"/>
  <c r="I23"/>
  <c r="H23"/>
  <c r="S22"/>
  <c r="R22"/>
  <c r="Q22"/>
  <c r="J22"/>
  <c r="I22"/>
  <c r="H22"/>
  <c r="S21"/>
  <c r="R21"/>
  <c r="Q21"/>
  <c r="J21"/>
  <c r="I21"/>
  <c r="H21"/>
  <c r="S20"/>
  <c r="R20"/>
  <c r="Q20"/>
  <c r="J20"/>
  <c r="I20"/>
  <c r="H20"/>
  <c r="S19"/>
  <c r="R19"/>
  <c r="Q19"/>
  <c r="J19"/>
  <c r="I19"/>
  <c r="H19"/>
  <c r="S18"/>
  <c r="R18"/>
  <c r="Q18"/>
  <c r="J18"/>
  <c r="I18"/>
  <c r="H18"/>
  <c r="S17"/>
  <c r="R17"/>
  <c r="Q17"/>
  <c r="J17"/>
  <c r="I17"/>
  <c r="H17"/>
  <c r="S16"/>
  <c r="R16"/>
  <c r="Q16"/>
  <c r="J16"/>
  <c r="I16"/>
  <c r="H16"/>
  <c r="S15"/>
  <c r="R15"/>
  <c r="Q15"/>
  <c r="J15"/>
  <c r="I15"/>
  <c r="H15"/>
  <c r="S14"/>
  <c r="R14"/>
  <c r="Q14"/>
  <c r="J14"/>
  <c r="I14"/>
  <c r="H14"/>
  <c r="S13"/>
  <c r="R13"/>
  <c r="Q13"/>
  <c r="J13"/>
  <c r="I13"/>
  <c r="H13"/>
  <c r="S12"/>
  <c r="R12"/>
  <c r="Q12"/>
  <c r="J12"/>
  <c r="I12"/>
  <c r="H12"/>
  <c r="S11"/>
  <c r="R11"/>
  <c r="Q11"/>
  <c r="J11"/>
  <c r="I11"/>
  <c r="H11"/>
  <c r="S10"/>
  <c r="R10"/>
  <c r="Q10"/>
  <c r="J10"/>
  <c r="I10"/>
  <c r="H10"/>
  <c r="S9"/>
  <c r="R9"/>
  <c r="Q9"/>
  <c r="J9"/>
  <c r="I9"/>
  <c r="H9"/>
  <c r="G28" i="1"/>
  <c r="BC53" i="2"/>
  <c r="BC47"/>
  <c r="BC44"/>
  <c r="BC43"/>
  <c r="BC42"/>
  <c r="BC37"/>
  <c r="BC36"/>
  <c r="BC35"/>
  <c r="BC34"/>
  <c r="BC33"/>
  <c r="BC32"/>
  <c r="BC31"/>
  <c r="BC30"/>
  <c r="BC29"/>
  <c r="BC28"/>
  <c r="BC27"/>
  <c r="BC26"/>
  <c r="BC24"/>
  <c r="BC23"/>
  <c r="BC22"/>
  <c r="BC21"/>
  <c r="BC20"/>
  <c r="BC19"/>
  <c r="BC18"/>
  <c r="BC16"/>
  <c r="BS53"/>
  <c r="BS49"/>
  <c r="BS48"/>
  <c r="BS43"/>
  <c r="BS42"/>
  <c r="BS39"/>
  <c r="BS37"/>
  <c r="BS36"/>
  <c r="BS35"/>
  <c r="BS30"/>
  <c r="BS31"/>
  <c r="BS28"/>
  <c r="BS27"/>
  <c r="BS26"/>
  <c r="BS24"/>
  <c r="BS23"/>
  <c r="BS22"/>
  <c r="BS21"/>
  <c r="BS20"/>
  <c r="BS19"/>
  <c r="BS16"/>
  <c r="BK53"/>
  <c r="BK49"/>
  <c r="BK48"/>
  <c r="BK47"/>
  <c r="BK44"/>
  <c r="BK43"/>
  <c r="BK42"/>
  <c r="BK41"/>
  <c r="BK39"/>
  <c r="BK38"/>
  <c r="BK37"/>
  <c r="BK36"/>
  <c r="BK35"/>
  <c r="BK32"/>
  <c r="BK31"/>
  <c r="BK30"/>
  <c r="BK29"/>
  <c r="BK28"/>
  <c r="BK27"/>
  <c r="BK26"/>
  <c r="BK24"/>
  <c r="BK23"/>
  <c r="BK22"/>
  <c r="BK21"/>
  <c r="BK20"/>
  <c r="BK19"/>
  <c r="BK18"/>
  <c r="BK16"/>
  <c r="I28" i="1"/>
  <c r="J28"/>
  <c r="AL17" i="2"/>
  <c r="AL18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1"/>
  <c r="AL42"/>
  <c r="AL43"/>
  <c r="AL44"/>
  <c r="AL47"/>
  <c r="AL48"/>
  <c r="AL49"/>
  <c r="AL50"/>
  <c r="AL51"/>
  <c r="AL52"/>
  <c r="AL53"/>
  <c r="AL16"/>
  <c r="BX53"/>
  <c r="BX52"/>
  <c r="BX51"/>
  <c r="BX50"/>
  <c r="BX49"/>
  <c r="BX48"/>
  <c r="BX47"/>
  <c r="BX44"/>
  <c r="BX43"/>
  <c r="BX42"/>
  <c r="BX41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1"/>
  <c r="BW42"/>
  <c r="BW43"/>
  <c r="BW44"/>
  <c r="BW47"/>
  <c r="BW48"/>
  <c r="BW49"/>
  <c r="BW50"/>
  <c r="BW51"/>
  <c r="BW52"/>
  <c r="BW53"/>
  <c r="BW16"/>
  <c r="AK53"/>
  <c r="AK52"/>
  <c r="AK51"/>
  <c r="AK50"/>
  <c r="AK49"/>
  <c r="AK48"/>
  <c r="AK47"/>
  <c r="AK44"/>
  <c r="AK43"/>
  <c r="AK42"/>
  <c r="AK41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J53"/>
  <c r="AJ52"/>
  <c r="AJ51"/>
  <c r="AJ50"/>
  <c r="AJ49"/>
  <c r="AJ48"/>
  <c r="AJ47"/>
  <c r="AJ44"/>
  <c r="AJ43"/>
  <c r="AJ42"/>
  <c r="AJ41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1"/>
  <c r="AI42"/>
  <c r="AI43"/>
  <c r="AI44"/>
  <c r="AI47"/>
  <c r="AI48"/>
  <c r="AI49"/>
  <c r="AI50"/>
  <c r="AI51"/>
  <c r="AI52"/>
  <c r="AI53"/>
  <c r="AI16"/>
  <c r="F24" i="1"/>
  <c r="F23"/>
  <c r="F18"/>
  <c r="F21"/>
  <c r="F20"/>
  <c r="F19"/>
  <c r="F15"/>
  <c r="F16"/>
  <c r="F17"/>
</calcChain>
</file>

<file path=xl/sharedStrings.xml><?xml version="1.0" encoding="utf-8"?>
<sst xmlns="http://schemas.openxmlformats.org/spreadsheetml/2006/main" count="1070" uniqueCount="107">
  <si>
    <t xml:space="preserve"> </t>
  </si>
  <si>
    <t xml:space="preserve">     (Kilometre)</t>
  </si>
  <si>
    <t>_________________________________________________</t>
  </si>
  <si>
    <t>Below</t>
  </si>
  <si>
    <t>Standard</t>
  </si>
  <si>
    <t>Stan-</t>
  </si>
  <si>
    <t>Total</t>
  </si>
  <si>
    <t>standard</t>
  </si>
  <si>
    <t>single</t>
  </si>
  <si>
    <t>double</t>
  </si>
  <si>
    <t>dard</t>
  </si>
  <si>
    <t xml:space="preserve">      </t>
  </si>
  <si>
    <t xml:space="preserve">   </t>
  </si>
  <si>
    <t>lane</t>
  </si>
  <si>
    <t>multi</t>
  </si>
  <si>
    <t xml:space="preserve">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</si>
  <si>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</si>
  <si>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</si>
  <si>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</si>
  <si>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</si>
  <si>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</si>
  <si>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</si>
  <si>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</si>
  <si>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</si>
  <si>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</si>
  <si>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</si>
  <si>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>State:</t>
  </si>
  <si>
    <t xml:space="preserve"> Andhra Pradesh</t>
  </si>
  <si>
    <t>-</t>
  </si>
  <si>
    <t xml:space="preserve"> Arunachal Pradesh</t>
  </si>
  <si>
    <t xml:space="preserve"> Haryana</t>
  </si>
  <si>
    <t xml:space="preserve"> Mizoram</t>
  </si>
  <si>
    <t xml:space="preserve"> Rajasthan</t>
  </si>
  <si>
    <t xml:space="preserve"> Sikkim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</si>
  <si>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</si>
  <si>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</si>
  <si>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</si>
  <si>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</si>
  <si>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</si>
  <si>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</si>
  <si>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</si>
  <si>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</si>
  <si>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</si>
  <si>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</si>
  <si>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    (as on 31st March)</t>
  </si>
  <si>
    <t>Surfaced Length of National Highways</t>
  </si>
  <si>
    <t>Surfaced Length of State Highways</t>
  </si>
  <si>
    <t xml:space="preserve"> Source: Transport Research Wing, Ministry of Road Transport and Highways</t>
  </si>
  <si>
    <t xml:space="preserve"> Karnataka</t>
  </si>
  <si>
    <t xml:space="preserve"> Kerala</t>
  </si>
  <si>
    <t xml:space="preserve"> Madhya Pradesh</t>
  </si>
  <si>
    <t xml:space="preserve"> West Bengal</t>
  </si>
  <si>
    <t xml:space="preserve"> Himachal Pradesh</t>
  </si>
  <si>
    <t xml:space="preserve"> Assam</t>
  </si>
  <si>
    <t xml:space="preserve"> Punjab</t>
  </si>
  <si>
    <t xml:space="preserve"> Bihar  </t>
  </si>
  <si>
    <t xml:space="preserve"> Chattisgarh</t>
  </si>
  <si>
    <t xml:space="preserve"> Uttara Khand</t>
  </si>
  <si>
    <t xml:space="preserve"> Puducherry</t>
  </si>
  <si>
    <t xml:space="preserve"> Manipur </t>
  </si>
  <si>
    <t xml:space="preserve"> Meghalaya  </t>
  </si>
  <si>
    <t xml:space="preserve"> Nagaland</t>
  </si>
  <si>
    <t xml:space="preserve"> Tripura</t>
  </si>
  <si>
    <t>Below standard single lane</t>
  </si>
  <si>
    <t>Standard single lane</t>
  </si>
  <si>
    <t>Standard double lane</t>
  </si>
  <si>
    <t>Standard multi lane</t>
  </si>
  <si>
    <t>State/Union Territory</t>
  </si>
  <si>
    <t xml:space="preserve"> (Kilometre)</t>
  </si>
  <si>
    <t xml:space="preserve"> Year</t>
  </si>
  <si>
    <t xml:space="preserve"> ROADS</t>
  </si>
  <si>
    <t xml:space="preserve">  (as on 31st March)</t>
  </si>
  <si>
    <t xml:space="preserve"> Odisha</t>
  </si>
  <si>
    <t>Table21.4-LENGTH OF NATIONAL AND STATE HIGHWAYS-BY WIDTH</t>
  </si>
  <si>
    <t>NA</t>
  </si>
  <si>
    <t xml:space="preserve">NA </t>
  </si>
  <si>
    <t xml:space="preserve"> Maharashtra </t>
  </si>
  <si>
    <t xml:space="preserve"> Jharkhand </t>
  </si>
  <si>
    <t xml:space="preserve"> Jammu &amp; Kashmir  </t>
  </si>
  <si>
    <t xml:space="preserve"> Gujarat </t>
  </si>
  <si>
    <t xml:space="preserve"> Goa </t>
  </si>
  <si>
    <t>lane (SSL)</t>
  </si>
  <si>
    <t>Below standard single lane (BSSL)</t>
  </si>
  <si>
    <t>BSSL/SSL</t>
  </si>
  <si>
    <t>Stan-dard      multi lane</t>
  </si>
  <si>
    <t>Standard single lane (SSL)</t>
  </si>
  <si>
    <t>Less than two lane</t>
  </si>
  <si>
    <t>Two lane</t>
  </si>
  <si>
    <t>Four Lane and above</t>
  </si>
  <si>
    <t xml:space="preserve">  lane (BSSL)</t>
  </si>
  <si>
    <t>Telengana</t>
  </si>
  <si>
    <t>Working Sheet</t>
  </si>
  <si>
    <t>Table 21.4  Length of National and State Highways by Width</t>
  </si>
  <si>
    <t>(as on 31st March)</t>
  </si>
  <si>
    <t>Water Bound Macadum 2014</t>
  </si>
  <si>
    <t>Black Top/Cement Concrete 2014</t>
  </si>
  <si>
    <t>Grand Total 2014</t>
  </si>
  <si>
    <t>Water Bound Macadum 2015</t>
  </si>
  <si>
    <t>Black Top/Cement Concrete 2015</t>
  </si>
  <si>
    <t>Grand Total 2015</t>
  </si>
  <si>
    <t>SDL</t>
  </si>
  <si>
    <t>SML</t>
  </si>
  <si>
    <t>Total BSSL/SSL</t>
  </si>
  <si>
    <t>Total SDL</t>
  </si>
  <si>
    <t>Total SML</t>
  </si>
  <si>
    <t xml:space="preserve">Total </t>
  </si>
  <si>
    <t>(Kilometre)</t>
  </si>
</sst>
</file>

<file path=xl/styles.xml><?xml version="1.0" encoding="utf-8"?>
<styleSheet xmlns="http://schemas.openxmlformats.org/spreadsheetml/2006/main">
  <fonts count="12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37" fontId="1" fillId="0" borderId="0" xfId="0" applyNumberFormat="1" applyFont="1" applyProtection="1"/>
    <xf numFmtId="37" fontId="1" fillId="0" borderId="0" xfId="0" applyNumberFormat="1" applyFont="1" applyAlignment="1" applyProtection="1">
      <alignment horizontal="left"/>
    </xf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 applyProtection="1">
      <alignment horizontal="right"/>
    </xf>
    <xf numFmtId="37" fontId="3" fillId="3" borderId="1" xfId="0" applyNumberFormat="1" applyFont="1" applyFill="1" applyBorder="1" applyProtection="1"/>
    <xf numFmtId="37" fontId="3" fillId="3" borderId="1" xfId="0" applyNumberFormat="1" applyFont="1" applyFill="1" applyBorder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right"/>
    </xf>
    <xf numFmtId="0" fontId="1" fillId="4" borderId="0" xfId="0" applyFont="1" applyFill="1"/>
    <xf numFmtId="0" fontId="1" fillId="4" borderId="0" xfId="0" applyFont="1" applyFill="1" applyBorder="1" applyAlignment="1" applyProtection="1">
      <alignment horizontal="left"/>
    </xf>
    <xf numFmtId="37" fontId="1" fillId="2" borderId="1" xfId="0" applyNumberFormat="1" applyFont="1" applyFill="1" applyBorder="1" applyProtection="1"/>
    <xf numFmtId="37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/>
    <xf numFmtId="0" fontId="3" fillId="3" borderId="2" xfId="0" applyFont="1" applyFill="1" applyBorder="1"/>
    <xf numFmtId="37" fontId="3" fillId="3" borderId="3" xfId="0" applyNumberFormat="1" applyFont="1" applyFill="1" applyBorder="1" applyAlignment="1" applyProtection="1">
      <alignment horizontal="right"/>
    </xf>
    <xf numFmtId="37" fontId="3" fillId="3" borderId="0" xfId="0" applyNumberFormat="1" applyFont="1" applyFill="1" applyBorder="1" applyProtection="1"/>
    <xf numFmtId="37" fontId="3" fillId="3" borderId="2" xfId="0" applyNumberFormat="1" applyFont="1" applyFill="1" applyBorder="1" applyProtection="1"/>
    <xf numFmtId="0" fontId="3" fillId="3" borderId="4" xfId="0" applyFont="1" applyFill="1" applyBorder="1" applyAlignment="1" applyProtection="1">
      <alignment horizontal="right"/>
    </xf>
    <xf numFmtId="37" fontId="3" fillId="3" borderId="2" xfId="0" applyNumberFormat="1" applyFont="1" applyFill="1" applyBorder="1" applyAlignment="1" applyProtection="1">
      <alignment horizontal="right"/>
    </xf>
    <xf numFmtId="37" fontId="3" fillId="3" borderId="4" xfId="0" applyNumberFormat="1" applyFont="1" applyFill="1" applyBorder="1" applyProtection="1"/>
    <xf numFmtId="37" fontId="3" fillId="3" borderId="5" xfId="0" applyNumberFormat="1" applyFont="1" applyFill="1" applyBorder="1" applyProtection="1"/>
    <xf numFmtId="0" fontId="1" fillId="5" borderId="3" xfId="0" applyNumberFormat="1" applyFont="1" applyFill="1" applyBorder="1" applyAlignment="1" applyProtection="1">
      <alignment horizontal="right"/>
    </xf>
    <xf numFmtId="0" fontId="1" fillId="5" borderId="0" xfId="0" applyNumberFormat="1" applyFont="1" applyFill="1" applyBorder="1" applyAlignment="1" applyProtection="1">
      <alignment horizontal="right"/>
    </xf>
    <xf numFmtId="0" fontId="3" fillId="5" borderId="0" xfId="0" applyNumberFormat="1" applyFont="1" applyFill="1" applyBorder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/>
    </xf>
    <xf numFmtId="0" fontId="1" fillId="5" borderId="0" xfId="0" quotePrefix="1" applyNumberFormat="1" applyFont="1" applyFill="1" applyBorder="1" applyAlignment="1" applyProtection="1">
      <alignment horizontal="right"/>
    </xf>
    <xf numFmtId="0" fontId="1" fillId="2" borderId="0" xfId="0" quotePrefix="1" applyNumberFormat="1" applyFont="1" applyFill="1" applyBorder="1" applyAlignment="1" applyProtection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right"/>
    </xf>
    <xf numFmtId="0" fontId="3" fillId="3" borderId="5" xfId="0" applyFont="1" applyFill="1" applyBorder="1"/>
    <xf numFmtId="0" fontId="1" fillId="5" borderId="0" xfId="0" applyNumberFormat="1" applyFont="1" applyFill="1" applyBorder="1" applyAlignment="1">
      <alignment horizontal="right"/>
    </xf>
    <xf numFmtId="37" fontId="3" fillId="5" borderId="2" xfId="0" applyNumberFormat="1" applyFont="1" applyFill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0" fontId="1" fillId="5" borderId="0" xfId="0" applyFont="1" applyFill="1" applyBorder="1"/>
    <xf numFmtId="0" fontId="3" fillId="5" borderId="2" xfId="0" applyFont="1" applyFill="1" applyBorder="1" applyAlignment="1">
      <alignment horizontal="right"/>
    </xf>
    <xf numFmtId="0" fontId="1" fillId="2" borderId="0" xfId="0" applyFont="1" applyFill="1" applyBorder="1"/>
    <xf numFmtId="0" fontId="3" fillId="2" borderId="2" xfId="0" applyFont="1" applyFill="1" applyBorder="1" applyAlignment="1">
      <alignment horizontal="right"/>
    </xf>
    <xf numFmtId="0" fontId="3" fillId="5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4" fillId="3" borderId="9" xfId="0" applyFont="1" applyFill="1" applyBorder="1"/>
    <xf numFmtId="0" fontId="4" fillId="3" borderId="0" xfId="0" applyFont="1" applyFill="1" applyBorder="1"/>
    <xf numFmtId="0" fontId="4" fillId="3" borderId="10" xfId="0" applyFont="1" applyFill="1" applyBorder="1"/>
    <xf numFmtId="0" fontId="1" fillId="3" borderId="11" xfId="0" applyFont="1" applyFill="1" applyBorder="1"/>
    <xf numFmtId="0" fontId="3" fillId="3" borderId="10" xfId="0" applyFont="1" applyFill="1" applyBorder="1" applyAlignment="1" applyProtection="1">
      <alignment horizontal="right"/>
    </xf>
    <xf numFmtId="0" fontId="3" fillId="3" borderId="10" xfId="0" applyFont="1" applyFill="1" applyBorder="1"/>
    <xf numFmtId="37" fontId="3" fillId="3" borderId="10" xfId="0" applyNumberFormat="1" applyFont="1" applyFill="1" applyBorder="1" applyProtection="1"/>
    <xf numFmtId="0" fontId="3" fillId="3" borderId="12" xfId="0" applyFont="1" applyFill="1" applyBorder="1"/>
    <xf numFmtId="37" fontId="3" fillId="3" borderId="10" xfId="0" applyNumberFormat="1" applyFont="1" applyFill="1" applyBorder="1" applyAlignment="1" applyProtection="1">
      <alignment horizontal="right"/>
    </xf>
    <xf numFmtId="37" fontId="3" fillId="3" borderId="12" xfId="0" applyNumberFormat="1" applyFont="1" applyFill="1" applyBorder="1" applyAlignment="1" applyProtection="1">
      <alignment horizontal="right"/>
    </xf>
    <xf numFmtId="0" fontId="3" fillId="5" borderId="10" xfId="0" applyNumberFormat="1" applyFont="1" applyFill="1" applyBorder="1" applyAlignment="1" applyProtection="1">
      <alignment horizontal="right"/>
    </xf>
    <xf numFmtId="0" fontId="3" fillId="2" borderId="10" xfId="0" applyNumberFormat="1" applyFont="1" applyFill="1" applyBorder="1" applyAlignment="1" applyProtection="1">
      <alignment horizontal="right"/>
    </xf>
    <xf numFmtId="0" fontId="3" fillId="5" borderId="10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0" fontId="3" fillId="5" borderId="10" xfId="0" applyFont="1" applyFill="1" applyBorder="1"/>
    <xf numFmtId="0" fontId="3" fillId="2" borderId="10" xfId="0" applyFont="1" applyFill="1" applyBorder="1"/>
    <xf numFmtId="0" fontId="1" fillId="4" borderId="9" xfId="0" applyFont="1" applyFill="1" applyBorder="1"/>
    <xf numFmtId="0" fontId="1" fillId="4" borderId="0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3" fillId="3" borderId="16" xfId="0" applyFont="1" applyFill="1" applyBorder="1"/>
    <xf numFmtId="37" fontId="1" fillId="5" borderId="16" xfId="0" applyNumberFormat="1" applyFont="1" applyFill="1" applyBorder="1" applyProtection="1"/>
    <xf numFmtId="0" fontId="1" fillId="5" borderId="16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7" fontId="1" fillId="3" borderId="0" xfId="0" applyNumberFormat="1" applyFont="1" applyFill="1" applyBorder="1" applyAlignment="1" applyProtection="1">
      <alignment horizontal="left"/>
    </xf>
    <xf numFmtId="37" fontId="1" fillId="2" borderId="0" xfId="0" applyNumberFormat="1" applyFont="1" applyFill="1" applyBorder="1" applyProtection="1"/>
    <xf numFmtId="37" fontId="1" fillId="5" borderId="0" xfId="0" applyNumberFormat="1" applyFont="1" applyFill="1" applyBorder="1" applyProtection="1"/>
    <xf numFmtId="0" fontId="1" fillId="4" borderId="9" xfId="0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right"/>
    </xf>
    <xf numFmtId="0" fontId="3" fillId="4" borderId="0" xfId="0" applyNumberFormat="1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/>
    <xf numFmtId="0" fontId="2" fillId="3" borderId="9" xfId="0" applyFont="1" applyFill="1" applyBorder="1" applyAlignment="1" applyProtection="1"/>
    <xf numFmtId="0" fontId="2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3" borderId="4" xfId="0" applyFont="1" applyFill="1" applyBorder="1"/>
    <xf numFmtId="0" fontId="5" fillId="5" borderId="0" xfId="0" applyNumberFormat="1" applyFont="1" applyFill="1" applyBorder="1" applyAlignment="1" applyProtection="1">
      <alignment horizontal="center"/>
    </xf>
    <xf numFmtId="37" fontId="3" fillId="3" borderId="16" xfId="0" applyNumberFormat="1" applyFont="1" applyFill="1" applyBorder="1" applyAlignment="1" applyProtection="1">
      <alignment horizontal="right"/>
    </xf>
    <xf numFmtId="0" fontId="3" fillId="5" borderId="16" xfId="0" applyNumberFormat="1" applyFont="1" applyFill="1" applyBorder="1" applyAlignment="1" applyProtection="1">
      <alignment horizontal="right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4" fillId="3" borderId="3" xfId="0" applyFont="1" applyFill="1" applyBorder="1" applyAlignment="1">
      <alignment horizontal="left"/>
    </xf>
    <xf numFmtId="37" fontId="3" fillId="3" borderId="4" xfId="0" applyNumberFormat="1" applyFont="1" applyFill="1" applyBorder="1" applyAlignment="1" applyProtection="1">
      <alignment horizontal="right"/>
    </xf>
    <xf numFmtId="0" fontId="3" fillId="3" borderId="19" xfId="0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horizontal="right"/>
    </xf>
    <xf numFmtId="0" fontId="3" fillId="5" borderId="0" xfId="0" quotePrefix="1" applyNumberFormat="1" applyFont="1" applyFill="1" applyBorder="1" applyAlignment="1" applyProtection="1">
      <alignment horizontal="right"/>
    </xf>
    <xf numFmtId="0" fontId="3" fillId="2" borderId="0" xfId="0" quotePrefix="1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wrapText="1"/>
    </xf>
    <xf numFmtId="0" fontId="1" fillId="2" borderId="3" xfId="0" quotePrefix="1" applyNumberFormat="1" applyFont="1" applyFill="1" applyBorder="1" applyAlignment="1" applyProtection="1">
      <alignment horizontal="right"/>
    </xf>
    <xf numFmtId="0" fontId="1" fillId="5" borderId="3" xfId="0" quotePrefix="1" applyNumberFormat="1" applyFont="1" applyFill="1" applyBorder="1" applyAlignment="1" applyProtection="1">
      <alignment horizontal="right"/>
    </xf>
    <xf numFmtId="0" fontId="3" fillId="5" borderId="3" xfId="0" applyNumberFormat="1" applyFont="1" applyFill="1" applyBorder="1" applyAlignment="1" applyProtection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1" fillId="2" borderId="4" xfId="0" quotePrefix="1" applyNumberFormat="1" applyFont="1" applyFill="1" applyBorder="1" applyAlignment="1" applyProtection="1">
      <alignment horizontal="right"/>
    </xf>
    <xf numFmtId="37" fontId="3" fillId="3" borderId="22" xfId="0" applyNumberFormat="1" applyFont="1" applyFill="1" applyBorder="1" applyAlignment="1" applyProtection="1">
      <alignment horizontal="right"/>
    </xf>
    <xf numFmtId="0" fontId="3" fillId="3" borderId="20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horizontal="right" vertical="top" wrapText="1"/>
    </xf>
    <xf numFmtId="0" fontId="3" fillId="3" borderId="16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0" fontId="1" fillId="3" borderId="23" xfId="0" applyFont="1" applyFill="1" applyBorder="1" applyAlignment="1" applyProtection="1">
      <alignment horizontal="center"/>
    </xf>
    <xf numFmtId="0" fontId="3" fillId="3" borderId="24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/>
    <xf numFmtId="0" fontId="3" fillId="3" borderId="20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/>
    <xf numFmtId="0" fontId="3" fillId="3" borderId="25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right"/>
    </xf>
    <xf numFmtId="37" fontId="3" fillId="3" borderId="7" xfId="0" applyNumberFormat="1" applyFont="1" applyFill="1" applyBorder="1" applyAlignment="1" applyProtection="1">
      <alignment horizontal="right"/>
    </xf>
    <xf numFmtId="0" fontId="3" fillId="3" borderId="7" xfId="0" applyFont="1" applyFill="1" applyBorder="1"/>
    <xf numFmtId="0" fontId="1" fillId="3" borderId="7" xfId="0" applyFont="1" applyFill="1" applyBorder="1" applyAlignment="1" applyProtection="1">
      <alignment horizontal="left"/>
    </xf>
    <xf numFmtId="37" fontId="1" fillId="3" borderId="7" xfId="0" applyNumberFormat="1" applyFont="1" applyFill="1" applyBorder="1" applyAlignment="1" applyProtection="1">
      <alignment horizontal="left"/>
    </xf>
    <xf numFmtId="0" fontId="3" fillId="3" borderId="9" xfId="0" applyFont="1" applyFill="1" applyBorder="1"/>
    <xf numFmtId="0" fontId="3" fillId="3" borderId="11" xfId="0" applyFont="1" applyFill="1" applyBorder="1"/>
    <xf numFmtId="0" fontId="3" fillId="3" borderId="9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3" borderId="9" xfId="0" applyFont="1" applyFill="1" applyBorder="1"/>
    <xf numFmtId="0" fontId="1" fillId="3" borderId="11" xfId="0" applyFont="1" applyFill="1" applyBorder="1" applyAlignment="1" applyProtection="1">
      <alignment horizontal="left"/>
    </xf>
    <xf numFmtId="0" fontId="4" fillId="3" borderId="25" xfId="0" applyFont="1" applyFill="1" applyBorder="1"/>
    <xf numFmtId="0" fontId="3" fillId="3" borderId="17" xfId="0" applyFont="1" applyFill="1" applyBorder="1"/>
    <xf numFmtId="0" fontId="3" fillId="3" borderId="16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1" fillId="5" borderId="22" xfId="0" quotePrefix="1" applyFont="1" applyFill="1" applyBorder="1" applyAlignment="1">
      <alignment horizontal="right"/>
    </xf>
    <xf numFmtId="0" fontId="3" fillId="3" borderId="1" xfId="0" applyFont="1" applyFill="1" applyBorder="1" applyAlignment="1" applyProtection="1"/>
    <xf numFmtId="0" fontId="3" fillId="3" borderId="14" xfId="0" applyFont="1" applyFill="1" applyBorder="1" applyAlignment="1" applyProtection="1">
      <alignment horizontal="center"/>
    </xf>
    <xf numFmtId="0" fontId="1" fillId="5" borderId="16" xfId="0" applyNumberFormat="1" applyFont="1" applyFill="1" applyBorder="1" applyAlignment="1" applyProtection="1">
      <alignment horizontal="right"/>
    </xf>
    <xf numFmtId="0" fontId="1" fillId="3" borderId="0" xfId="0" applyFont="1" applyFill="1"/>
    <xf numFmtId="0" fontId="1" fillId="3" borderId="16" xfId="0" applyFont="1" applyFill="1" applyBorder="1"/>
    <xf numFmtId="0" fontId="1" fillId="3" borderId="14" xfId="0" applyFont="1" applyFill="1" applyBorder="1"/>
    <xf numFmtId="0" fontId="3" fillId="4" borderId="9" xfId="0" applyFont="1" applyFill="1" applyBorder="1" applyAlignment="1" applyProtection="1"/>
    <xf numFmtId="37" fontId="3" fillId="4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8" fillId="0" borderId="6" xfId="0" applyFont="1" applyBorder="1"/>
    <xf numFmtId="0" fontId="8" fillId="0" borderId="9" xfId="0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0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7" fillId="0" borderId="0" xfId="0" applyFont="1" applyBorder="1"/>
    <xf numFmtId="0" fontId="7" fillId="0" borderId="10" xfId="0" applyFont="1" applyBorder="1"/>
    <xf numFmtId="0" fontId="8" fillId="0" borderId="2" xfId="0" applyFont="1" applyBorder="1" applyAlignment="1"/>
    <xf numFmtId="0" fontId="8" fillId="0" borderId="0" xfId="0" applyFont="1" applyFill="1" applyBorder="1"/>
    <xf numFmtId="0" fontId="9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37" fontId="1" fillId="2" borderId="0" xfId="0" applyNumberFormat="1" applyFont="1" applyFill="1" applyBorder="1" applyAlignment="1" applyProtection="1">
      <alignment horizontal="right"/>
    </xf>
    <xf numFmtId="37" fontId="1" fillId="5" borderId="0" xfId="0" applyNumberFormat="1" applyFont="1" applyFill="1" applyBorder="1" applyAlignment="1" applyProtection="1">
      <alignment horizontal="right"/>
    </xf>
    <xf numFmtId="37" fontId="1" fillId="5" borderId="0" xfId="0" quotePrefix="1" applyNumberFormat="1" applyFont="1" applyFill="1" applyBorder="1" applyAlignment="1" applyProtection="1">
      <alignment horizontal="right"/>
    </xf>
    <xf numFmtId="37" fontId="1" fillId="2" borderId="0" xfId="0" quotePrefix="1" applyNumberFormat="1" applyFont="1" applyFill="1" applyBorder="1" applyAlignment="1" applyProtection="1">
      <alignment horizontal="right"/>
    </xf>
    <xf numFmtId="37" fontId="1" fillId="2" borderId="1" xfId="0" applyNumberFormat="1" applyFont="1" applyFill="1" applyBorder="1" applyAlignment="1" applyProtection="1">
      <alignment horizontal="right"/>
    </xf>
    <xf numFmtId="0" fontId="3" fillId="4" borderId="9" xfId="0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2" fillId="3" borderId="9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/>
    <xf numFmtId="0" fontId="3" fillId="3" borderId="10" xfId="0" applyFont="1" applyFill="1" applyBorder="1" applyAlignment="1"/>
    <xf numFmtId="0" fontId="3" fillId="3" borderId="3" xfId="0" applyFont="1" applyFill="1" applyBorder="1" applyAlignment="1" applyProtection="1">
      <alignment horizontal="right"/>
    </xf>
    <xf numFmtId="0" fontId="3" fillId="3" borderId="2" xfId="0" applyFont="1" applyFill="1" applyBorder="1" applyAlignment="1"/>
    <xf numFmtId="0" fontId="3" fillId="3" borderId="22" xfId="0" applyFont="1" applyFill="1" applyBorder="1" applyAlignment="1" applyProtection="1">
      <alignment horizontal="center"/>
    </xf>
    <xf numFmtId="0" fontId="1" fillId="3" borderId="18" xfId="0" applyFont="1" applyFill="1" applyBorder="1" applyAlignment="1"/>
    <xf numFmtId="0" fontId="2" fillId="3" borderId="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3" fillId="3" borderId="19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5" borderId="3" xfId="0" quotePrefix="1" applyFont="1" applyFill="1" applyBorder="1" applyAlignment="1">
      <alignment horizontal="right"/>
    </xf>
    <xf numFmtId="0" fontId="5" fillId="5" borderId="0" xfId="0" applyFont="1" applyFill="1" applyBorder="1"/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10" xfId="0" applyFont="1" applyFill="1" applyBorder="1"/>
    <xf numFmtId="0" fontId="5" fillId="3" borderId="11" xfId="0" applyFont="1" applyFill="1" applyBorder="1" applyAlignment="1" applyProtection="1">
      <alignment horizontal="center"/>
    </xf>
    <xf numFmtId="0" fontId="5" fillId="5" borderId="4" xfId="0" quotePrefix="1" applyFont="1" applyFill="1" applyBorder="1" applyAlignment="1">
      <alignment horizontal="right"/>
    </xf>
    <xf numFmtId="0" fontId="5" fillId="5" borderId="1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5" borderId="12" xfId="0" applyFont="1" applyFill="1" applyBorder="1"/>
    <xf numFmtId="0" fontId="11" fillId="3" borderId="20" xfId="0" applyFont="1" applyFill="1" applyBorder="1" applyAlignment="1" applyProtection="1">
      <alignment horizontal="right"/>
    </xf>
    <xf numFmtId="37" fontId="11" fillId="3" borderId="0" xfId="0" applyNumberFormat="1" applyFont="1" applyFill="1" applyBorder="1" applyAlignment="1" applyProtection="1">
      <alignment horizontal="right"/>
    </xf>
    <xf numFmtId="37" fontId="11" fillId="3" borderId="1" xfId="0" applyNumberFormat="1" applyFont="1" applyFill="1" applyBorder="1" applyProtection="1"/>
    <xf numFmtId="0" fontId="5" fillId="5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right"/>
    </xf>
    <xf numFmtId="0" fontId="11" fillId="3" borderId="21" xfId="0" applyFont="1" applyFill="1" applyBorder="1" applyAlignment="1" applyProtection="1">
      <alignment horizontal="right"/>
    </xf>
    <xf numFmtId="37" fontId="11" fillId="3" borderId="2" xfId="0" applyNumberFormat="1" applyFont="1" applyFill="1" applyBorder="1" applyAlignment="1" applyProtection="1">
      <alignment horizontal="right"/>
    </xf>
    <xf numFmtId="37" fontId="11" fillId="3" borderId="5" xfId="0" applyNumberFormat="1" applyFont="1" applyFill="1" applyBorder="1" applyProtection="1"/>
    <xf numFmtId="0" fontId="5" fillId="5" borderId="2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>
      <alignment horizontal="right"/>
    </xf>
    <xf numFmtId="0" fontId="5" fillId="2" borderId="0" xfId="0" quotePrefix="1" applyNumberFormat="1" applyFont="1" applyFill="1" applyBorder="1" applyAlignment="1" applyProtection="1">
      <alignment horizontal="right"/>
    </xf>
    <xf numFmtId="0" fontId="5" fillId="2" borderId="2" xfId="0" quotePrefix="1" applyNumberFormat="1" applyFont="1" applyFill="1" applyBorder="1" applyAlignment="1" applyProtection="1">
      <alignment horizontal="right"/>
    </xf>
    <xf numFmtId="0" fontId="5" fillId="5" borderId="0" xfId="0" quotePrefix="1" applyNumberFormat="1" applyFont="1" applyFill="1" applyBorder="1" applyAlignment="1" applyProtection="1">
      <alignment horizontal="right"/>
    </xf>
    <xf numFmtId="0" fontId="5" fillId="5" borderId="2" xfId="0" quotePrefix="1" applyNumberFormat="1" applyFont="1" applyFill="1" applyBorder="1" applyAlignment="1" applyProtection="1">
      <alignment horizontal="right"/>
    </xf>
    <xf numFmtId="0" fontId="5" fillId="2" borderId="5" xfId="0" applyNumberFormat="1" applyFont="1" applyFill="1" applyBorder="1" applyAlignment="1" applyProtection="1">
      <alignment horizontal="right"/>
    </xf>
    <xf numFmtId="0" fontId="11" fillId="5" borderId="0" xfId="0" applyNumberFormat="1" applyFont="1" applyFill="1" applyBorder="1" applyAlignment="1" applyProtection="1">
      <alignment horizontal="right"/>
    </xf>
    <xf numFmtId="0" fontId="11" fillId="5" borderId="2" xfId="0" applyNumberFormat="1" applyFont="1" applyFill="1" applyBorder="1" applyAlignment="1" applyProtection="1">
      <alignment horizontal="right"/>
    </xf>
    <xf numFmtId="0" fontId="11" fillId="2" borderId="0" xfId="0" applyNumberFormat="1" applyFont="1" applyFill="1" applyBorder="1" applyAlignment="1" applyProtection="1">
      <alignment horizontal="right"/>
    </xf>
    <xf numFmtId="0" fontId="11" fillId="2" borderId="2" xfId="0" applyNumberFormat="1" applyFont="1" applyFill="1" applyBorder="1" applyAlignment="1" applyProtection="1">
      <alignment horizontal="right"/>
    </xf>
    <xf numFmtId="0" fontId="5" fillId="5" borderId="3" xfId="0" quotePrefix="1" applyNumberFormat="1" applyFont="1" applyFill="1" applyBorder="1" applyAlignment="1" applyProtection="1">
      <alignment horizontal="right"/>
    </xf>
    <xf numFmtId="0" fontId="11" fillId="2" borderId="0" xfId="0" quotePrefix="1" applyNumberFormat="1" applyFont="1" applyFill="1" applyBorder="1" applyAlignment="1" applyProtection="1">
      <alignment horizontal="right"/>
    </xf>
    <xf numFmtId="0" fontId="11" fillId="2" borderId="2" xfId="0" quotePrefix="1" applyNumberFormat="1" applyFont="1" applyFill="1" applyBorder="1" applyAlignment="1" applyProtection="1">
      <alignment horizontal="right"/>
    </xf>
    <xf numFmtId="0" fontId="11" fillId="5" borderId="0" xfId="0" quotePrefix="1" applyNumberFormat="1" applyFont="1" applyFill="1" applyBorder="1" applyAlignment="1" applyProtection="1">
      <alignment horizontal="right"/>
    </xf>
    <xf numFmtId="0" fontId="11" fillId="5" borderId="2" xfId="0" quotePrefix="1" applyNumberFormat="1" applyFont="1" applyFill="1" applyBorder="1" applyAlignment="1" applyProtection="1">
      <alignment horizontal="right"/>
    </xf>
    <xf numFmtId="0" fontId="11" fillId="2" borderId="1" xfId="0" applyNumberFormat="1" applyFont="1" applyFill="1" applyBorder="1" applyAlignment="1" applyProtection="1">
      <alignment horizontal="right"/>
    </xf>
    <xf numFmtId="0" fontId="11" fillId="2" borderId="5" xfId="0" applyNumberFormat="1" applyFont="1" applyFill="1" applyBorder="1" applyAlignment="1" applyProtection="1">
      <alignment horizontal="right"/>
    </xf>
    <xf numFmtId="0" fontId="11" fillId="3" borderId="1" xfId="0" applyFont="1" applyFill="1" applyBorder="1"/>
    <xf numFmtId="0" fontId="11" fillId="3" borderId="1" xfId="0" applyFont="1" applyFill="1" applyBorder="1" applyAlignment="1" applyProtection="1">
      <alignment horizontal="right"/>
    </xf>
    <xf numFmtId="0" fontId="5" fillId="5" borderId="0" xfId="0" applyNumberFormat="1" applyFont="1" applyFill="1" applyBorder="1" applyAlignment="1">
      <alignment horizontal="right"/>
    </xf>
    <xf numFmtId="0" fontId="11" fillId="3" borderId="20" xfId="0" applyFont="1" applyFill="1" applyBorder="1"/>
    <xf numFmtId="0" fontId="11" fillId="3" borderId="0" xfId="0" applyFont="1" applyFill="1" applyBorder="1"/>
    <xf numFmtId="0" fontId="11" fillId="3" borderId="0" xfId="0" applyFont="1" applyFill="1"/>
    <xf numFmtId="0" fontId="5" fillId="3" borderId="1" xfId="0" applyFont="1" applyFill="1" applyBorder="1"/>
    <xf numFmtId="0" fontId="5" fillId="5" borderId="0" xfId="0" applyFont="1" applyFill="1"/>
    <xf numFmtId="0" fontId="5" fillId="2" borderId="0" xfId="0" applyFont="1" applyFill="1" applyBorder="1"/>
    <xf numFmtId="0" fontId="5" fillId="2" borderId="0" xfId="0" applyFont="1" applyFill="1"/>
    <xf numFmtId="37" fontId="5" fillId="5" borderId="0" xfId="0" quotePrefix="1" applyNumberFormat="1" applyFont="1" applyFill="1" applyBorder="1" applyAlignment="1" applyProtection="1">
      <alignment horizontal="right"/>
    </xf>
    <xf numFmtId="37" fontId="5" fillId="2" borderId="0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/>
    <xf numFmtId="0" fontId="3" fillId="3" borderId="1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O33"/>
  <sheetViews>
    <sheetView showGridLines="0" view="pageBreakPreview" zoomScale="130" zoomScaleNormal="75" zoomScaleSheetLayoutView="130" workbookViewId="0">
      <selection activeCell="A32" sqref="A32:K32"/>
    </sheetView>
  </sheetViews>
  <sheetFormatPr defaultColWidth="9.625" defaultRowHeight="12.75"/>
  <cols>
    <col min="1" max="1" width="16.625" style="2" customWidth="1"/>
    <col min="2" max="2" width="7.25" style="2" customWidth="1"/>
    <col min="3" max="3" width="9.125" style="2" customWidth="1"/>
    <col min="4" max="4" width="8.75" style="2" customWidth="1"/>
    <col min="5" max="5" width="5.375" style="2" customWidth="1"/>
    <col min="6" max="6" width="8.625" style="2" customWidth="1"/>
    <col min="7" max="7" width="8.25" style="2" customWidth="1"/>
    <col min="8" max="8" width="9.375" style="2" customWidth="1"/>
    <col min="9" max="9" width="9" style="2" customWidth="1"/>
    <col min="10" max="10" width="6.75" style="2" customWidth="1"/>
    <col min="11" max="11" width="8.375" style="2" customWidth="1"/>
    <col min="12" max="15" width="6.625" style="2" customWidth="1"/>
    <col min="16" max="22" width="9.625" style="2"/>
    <col min="23" max="24" width="50.625" style="2" customWidth="1"/>
    <col min="25" max="25" width="9.625" style="2"/>
    <col min="26" max="26" width="50.625" style="2" customWidth="1"/>
    <col min="27" max="16384" width="9.625" style="2"/>
  </cols>
  <sheetData>
    <row r="1" spans="1:15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5" ht="15.75">
      <c r="A2" s="200" t="s">
        <v>43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5" ht="15.75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5" ht="15.75">
      <c r="A4" s="200" t="s">
        <v>73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3"/>
    </row>
    <row r="5" spans="1:15" ht="15.75" customHeight="1">
      <c r="A5" s="200" t="s">
        <v>44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  <c r="L5" s="3"/>
    </row>
    <row r="6" spans="1:15">
      <c r="A6" s="56"/>
      <c r="B6" s="8"/>
      <c r="C6" s="8"/>
      <c r="D6" s="8"/>
      <c r="E6" s="8"/>
      <c r="F6" s="8"/>
      <c r="G6" s="8"/>
      <c r="H6" s="8"/>
      <c r="I6" s="8"/>
      <c r="J6" s="8"/>
      <c r="K6" s="57" t="s">
        <v>1</v>
      </c>
    </row>
    <row r="7" spans="1:15">
      <c r="A7" s="96"/>
      <c r="B7" s="211" t="s">
        <v>45</v>
      </c>
      <c r="C7" s="204"/>
      <c r="D7" s="204"/>
      <c r="E7" s="204"/>
      <c r="F7" s="212"/>
      <c r="G7" s="203" t="s">
        <v>46</v>
      </c>
      <c r="H7" s="204"/>
      <c r="I7" s="204"/>
      <c r="J7" s="204"/>
      <c r="K7" s="205"/>
    </row>
    <row r="8" spans="1:15">
      <c r="A8" s="97" t="s">
        <v>69</v>
      </c>
      <c r="B8" s="209" t="s">
        <v>2</v>
      </c>
      <c r="C8" s="207"/>
      <c r="D8" s="207"/>
      <c r="E8" s="207"/>
      <c r="F8" s="210"/>
      <c r="G8" s="206" t="s">
        <v>2</v>
      </c>
      <c r="H8" s="207"/>
      <c r="I8" s="207"/>
      <c r="J8" s="207"/>
      <c r="K8" s="208"/>
      <c r="L8" s="1" t="s">
        <v>0</v>
      </c>
    </row>
    <row r="9" spans="1:15">
      <c r="A9" s="97"/>
      <c r="B9" s="122" t="s">
        <v>3</v>
      </c>
      <c r="C9" s="121" t="s">
        <v>4</v>
      </c>
      <c r="D9" s="121" t="s">
        <v>4</v>
      </c>
      <c r="E9" s="121" t="s">
        <v>5</v>
      </c>
      <c r="F9" s="39" t="s">
        <v>6</v>
      </c>
      <c r="G9" s="121" t="s">
        <v>3</v>
      </c>
      <c r="H9" s="121" t="s">
        <v>4</v>
      </c>
      <c r="I9" s="121" t="s">
        <v>4</v>
      </c>
      <c r="J9" s="121" t="s">
        <v>5</v>
      </c>
      <c r="K9" s="57" t="s">
        <v>6</v>
      </c>
    </row>
    <row r="10" spans="1:15">
      <c r="A10" s="96"/>
      <c r="B10" s="122" t="s">
        <v>7</v>
      </c>
      <c r="C10" s="18" t="s">
        <v>8</v>
      </c>
      <c r="D10" s="121" t="s">
        <v>9</v>
      </c>
      <c r="E10" s="121" t="s">
        <v>10</v>
      </c>
      <c r="F10" s="20"/>
      <c r="G10" s="121" t="s">
        <v>7</v>
      </c>
      <c r="H10" s="18" t="s">
        <v>8</v>
      </c>
      <c r="I10" s="121" t="s">
        <v>9</v>
      </c>
      <c r="J10" s="121" t="s">
        <v>10</v>
      </c>
      <c r="K10" s="58"/>
      <c r="L10" s="1" t="s">
        <v>11</v>
      </c>
      <c r="M10" s="4" t="s">
        <v>12</v>
      </c>
      <c r="N10" s="1" t="s">
        <v>0</v>
      </c>
      <c r="O10" s="4" t="s">
        <v>0</v>
      </c>
    </row>
    <row r="11" spans="1:15">
      <c r="A11" s="96"/>
      <c r="B11" s="21" t="s">
        <v>8</v>
      </c>
      <c r="C11" s="121" t="s">
        <v>13</v>
      </c>
      <c r="D11" s="18" t="s">
        <v>13</v>
      </c>
      <c r="E11" s="18" t="s">
        <v>14</v>
      </c>
      <c r="F11" s="23"/>
      <c r="G11" s="18" t="s">
        <v>8</v>
      </c>
      <c r="H11" s="121" t="s">
        <v>81</v>
      </c>
      <c r="I11" s="18" t="s">
        <v>13</v>
      </c>
      <c r="J11" s="18" t="s">
        <v>14</v>
      </c>
      <c r="K11" s="59"/>
      <c r="L11" s="4" t="s">
        <v>12</v>
      </c>
      <c r="M11" s="4" t="s">
        <v>12</v>
      </c>
    </row>
    <row r="12" spans="1:15">
      <c r="A12" s="98"/>
      <c r="B12" s="24" t="s">
        <v>13</v>
      </c>
      <c r="C12" s="9"/>
      <c r="D12" s="9"/>
      <c r="E12" s="12" t="s">
        <v>13</v>
      </c>
      <c r="F12" s="40"/>
      <c r="G12" s="149" t="s">
        <v>89</v>
      </c>
      <c r="H12" s="9"/>
      <c r="I12" s="9"/>
      <c r="J12" s="12" t="s">
        <v>13</v>
      </c>
      <c r="K12" s="60"/>
    </row>
    <row r="13" spans="1:15">
      <c r="A13" s="97" t="s">
        <v>15</v>
      </c>
      <c r="B13" s="21" t="s">
        <v>16</v>
      </c>
      <c r="C13" s="18" t="s">
        <v>17</v>
      </c>
      <c r="D13" s="18" t="s">
        <v>18</v>
      </c>
      <c r="E13" s="18" t="s">
        <v>19</v>
      </c>
      <c r="F13" s="25" t="s">
        <v>20</v>
      </c>
      <c r="G13" s="18" t="s">
        <v>21</v>
      </c>
      <c r="H13" s="18" t="s">
        <v>22</v>
      </c>
      <c r="I13" s="18" t="s">
        <v>23</v>
      </c>
      <c r="J13" s="18" t="s">
        <v>24</v>
      </c>
      <c r="K13" s="61" t="s">
        <v>25</v>
      </c>
      <c r="L13" s="3"/>
    </row>
    <row r="14" spans="1:15">
      <c r="A14" s="99"/>
      <c r="B14" s="26"/>
      <c r="C14" s="11"/>
      <c r="D14" s="11"/>
      <c r="E14" s="11"/>
      <c r="F14" s="27"/>
      <c r="G14" s="11"/>
      <c r="H14" s="9"/>
      <c r="I14" s="10"/>
      <c r="J14" s="10"/>
      <c r="K14" s="62"/>
      <c r="L14" s="1" t="s">
        <v>12</v>
      </c>
    </row>
    <row r="15" spans="1:15">
      <c r="A15" s="100">
        <v>2001</v>
      </c>
      <c r="B15" s="28" t="s">
        <v>28</v>
      </c>
      <c r="C15" s="41">
        <v>22444</v>
      </c>
      <c r="D15" s="41">
        <v>33969</v>
      </c>
      <c r="E15" s="41">
        <v>1266</v>
      </c>
      <c r="F15" s="42">
        <f t="shared" ref="F15:F21" si="0">C15+D15+E15</f>
        <v>57679</v>
      </c>
      <c r="G15" s="29">
        <v>22869</v>
      </c>
      <c r="H15" s="41">
        <v>66000</v>
      </c>
      <c r="I15" s="41">
        <v>29320</v>
      </c>
      <c r="J15" s="41">
        <v>1585</v>
      </c>
      <c r="K15" s="63">
        <v>129862</v>
      </c>
      <c r="L15" s="93"/>
    </row>
    <row r="16" spans="1:15" s="5" customFormat="1">
      <c r="A16" s="100">
        <v>2002</v>
      </c>
      <c r="B16" s="31" t="s">
        <v>28</v>
      </c>
      <c r="C16" s="37">
        <v>19190</v>
      </c>
      <c r="D16" s="37">
        <v>36510</v>
      </c>
      <c r="E16" s="37">
        <v>2306</v>
      </c>
      <c r="F16" s="43">
        <f t="shared" si="0"/>
        <v>58006</v>
      </c>
      <c r="G16" s="32">
        <v>21115</v>
      </c>
      <c r="H16" s="37">
        <v>68604</v>
      </c>
      <c r="I16" s="37">
        <v>32237</v>
      </c>
      <c r="J16" s="37">
        <v>2020</v>
      </c>
      <c r="K16" s="64">
        <v>135546</v>
      </c>
      <c r="L16" s="93"/>
    </row>
    <row r="17" spans="1:12">
      <c r="A17" s="100">
        <v>2003</v>
      </c>
      <c r="B17" s="28" t="s">
        <v>28</v>
      </c>
      <c r="C17" s="41">
        <v>19505</v>
      </c>
      <c r="D17" s="41">
        <v>35699</v>
      </c>
      <c r="E17" s="41">
        <v>2802</v>
      </c>
      <c r="F17" s="42">
        <f t="shared" si="0"/>
        <v>58006</v>
      </c>
      <c r="G17" s="44">
        <v>15418</v>
      </c>
      <c r="H17" s="44">
        <v>67708</v>
      </c>
      <c r="I17" s="44">
        <v>30263</v>
      </c>
      <c r="J17" s="44">
        <v>928</v>
      </c>
      <c r="K17" s="65">
        <v>132937</v>
      </c>
      <c r="L17" s="93"/>
    </row>
    <row r="18" spans="1:12" s="5" customFormat="1">
      <c r="A18" s="100">
        <v>2004</v>
      </c>
      <c r="B18" s="31" t="s">
        <v>28</v>
      </c>
      <c r="C18" s="37">
        <v>19564</v>
      </c>
      <c r="D18" s="37">
        <v>39167</v>
      </c>
      <c r="E18" s="37">
        <v>6627</v>
      </c>
      <c r="F18" s="43">
        <f t="shared" si="0"/>
        <v>65358</v>
      </c>
      <c r="G18" s="37">
        <v>14812</v>
      </c>
      <c r="H18" s="37">
        <v>65211</v>
      </c>
      <c r="I18" s="37">
        <v>31733</v>
      </c>
      <c r="J18" s="37">
        <v>1471</v>
      </c>
      <c r="K18" s="66">
        <v>131262</v>
      </c>
      <c r="L18" s="93"/>
    </row>
    <row r="19" spans="1:12">
      <c r="A19" s="100">
        <v>2005</v>
      </c>
      <c r="B19" s="28" t="s">
        <v>28</v>
      </c>
      <c r="C19" s="44">
        <v>19564</v>
      </c>
      <c r="D19" s="44">
        <v>39167</v>
      </c>
      <c r="E19" s="44">
        <v>6627</v>
      </c>
      <c r="F19" s="45">
        <f t="shared" si="0"/>
        <v>65358</v>
      </c>
      <c r="G19" s="44">
        <v>15726</v>
      </c>
      <c r="H19" s="44">
        <v>86986</v>
      </c>
      <c r="I19" s="44">
        <v>35374</v>
      </c>
      <c r="J19" s="44">
        <v>2189</v>
      </c>
      <c r="K19" s="67">
        <v>142898</v>
      </c>
      <c r="L19" s="93"/>
    </row>
    <row r="20" spans="1:12" s="5" customFormat="1">
      <c r="A20" s="100">
        <v>2006</v>
      </c>
      <c r="B20" s="31" t="s">
        <v>28</v>
      </c>
      <c r="C20" s="46">
        <v>21496</v>
      </c>
      <c r="D20" s="46">
        <v>37238</v>
      </c>
      <c r="E20" s="46">
        <v>7856</v>
      </c>
      <c r="F20" s="47">
        <f t="shared" si="0"/>
        <v>66590</v>
      </c>
      <c r="G20" s="46">
        <v>15538</v>
      </c>
      <c r="H20" s="46">
        <v>88604</v>
      </c>
      <c r="I20" s="46">
        <v>37806</v>
      </c>
      <c r="J20" s="46">
        <v>2610</v>
      </c>
      <c r="K20" s="68">
        <v>146325</v>
      </c>
      <c r="L20" s="93"/>
    </row>
    <row r="21" spans="1:12">
      <c r="A21" s="100">
        <v>2007</v>
      </c>
      <c r="B21" s="28" t="s">
        <v>28</v>
      </c>
      <c r="C21" s="41">
        <v>20878</v>
      </c>
      <c r="D21" s="41">
        <v>37401</v>
      </c>
      <c r="E21" s="41">
        <v>8311</v>
      </c>
      <c r="F21" s="48">
        <f t="shared" si="0"/>
        <v>66590</v>
      </c>
      <c r="G21" s="41">
        <v>42544</v>
      </c>
      <c r="H21" s="41">
        <v>69439</v>
      </c>
      <c r="I21" s="41">
        <v>36405</v>
      </c>
      <c r="J21" s="41">
        <v>2305</v>
      </c>
      <c r="K21" s="65">
        <v>150713</v>
      </c>
      <c r="L21" s="93"/>
    </row>
    <row r="22" spans="1:12" s="5" customFormat="1">
      <c r="A22" s="100">
        <v>2008</v>
      </c>
      <c r="B22" s="31" t="s">
        <v>28</v>
      </c>
      <c r="C22" s="37">
        <v>18104</v>
      </c>
      <c r="D22" s="37">
        <v>38621</v>
      </c>
      <c r="E22" s="37">
        <v>10029</v>
      </c>
      <c r="F22" s="49">
        <v>66754</v>
      </c>
      <c r="G22" s="37">
        <v>41629</v>
      </c>
      <c r="H22" s="37">
        <v>67449</v>
      </c>
      <c r="I22" s="37">
        <v>39339</v>
      </c>
      <c r="J22" s="37">
        <v>2742</v>
      </c>
      <c r="K22" s="66">
        <v>152738</v>
      </c>
      <c r="L22" s="93"/>
    </row>
    <row r="23" spans="1:12">
      <c r="A23" s="100">
        <v>2009</v>
      </c>
      <c r="B23" s="28" t="s">
        <v>28</v>
      </c>
      <c r="C23" s="41">
        <v>20116</v>
      </c>
      <c r="D23" s="41">
        <v>37346</v>
      </c>
      <c r="E23" s="41">
        <v>13086</v>
      </c>
      <c r="F23" s="48">
        <f>SUM(C23:E23)</f>
        <v>70548</v>
      </c>
      <c r="G23" s="41">
        <v>15465</v>
      </c>
      <c r="H23" s="41">
        <v>85252</v>
      </c>
      <c r="I23" s="41">
        <v>51153</v>
      </c>
      <c r="J23" s="41">
        <v>4845</v>
      </c>
      <c r="K23" s="65">
        <v>156716</v>
      </c>
      <c r="L23" s="93"/>
    </row>
    <row r="24" spans="1:12" s="5" customFormat="1">
      <c r="A24" s="100">
        <v>2010</v>
      </c>
      <c r="B24" s="31" t="s">
        <v>28</v>
      </c>
      <c r="C24" s="37">
        <v>18131</v>
      </c>
      <c r="D24" s="37">
        <v>37488</v>
      </c>
      <c r="E24" s="37">
        <v>15315</v>
      </c>
      <c r="F24" s="49">
        <f>SUM(C24:E24)</f>
        <v>70934</v>
      </c>
      <c r="G24" s="37">
        <v>11251</v>
      </c>
      <c r="H24" s="37">
        <v>86646</v>
      </c>
      <c r="I24" s="37">
        <v>54223</v>
      </c>
      <c r="J24" s="37">
        <v>6082</v>
      </c>
      <c r="K24" s="66">
        <v>158202</v>
      </c>
      <c r="L24" s="93"/>
    </row>
    <row r="25" spans="1:12" s="5" customFormat="1">
      <c r="A25" s="100">
        <v>2011</v>
      </c>
      <c r="B25" s="28" t="s">
        <v>28</v>
      </c>
      <c r="C25" s="41">
        <v>17102</v>
      </c>
      <c r="D25" s="41">
        <v>36650</v>
      </c>
      <c r="E25" s="41">
        <v>17182</v>
      </c>
      <c r="F25" s="48">
        <v>70934</v>
      </c>
      <c r="G25" s="41">
        <v>11175</v>
      </c>
      <c r="H25" s="41">
        <v>86093</v>
      </c>
      <c r="I25" s="41">
        <v>58093</v>
      </c>
      <c r="J25" s="41">
        <v>6559</v>
      </c>
      <c r="K25" s="65">
        <v>161920</v>
      </c>
      <c r="L25" s="93"/>
    </row>
    <row r="26" spans="1:12" s="5" customFormat="1">
      <c r="A26" s="100">
        <v>2012</v>
      </c>
      <c r="B26" s="31" t="s">
        <v>28</v>
      </c>
      <c r="C26" s="37">
        <v>16998</v>
      </c>
      <c r="D26" s="37">
        <v>40720</v>
      </c>
      <c r="E26" s="37">
        <v>19100</v>
      </c>
      <c r="F26" s="49">
        <v>76818</v>
      </c>
      <c r="G26" s="37" t="s">
        <v>74</v>
      </c>
      <c r="H26" s="37" t="s">
        <v>74</v>
      </c>
      <c r="I26" s="37" t="s">
        <v>74</v>
      </c>
      <c r="J26" s="37" t="s">
        <v>75</v>
      </c>
      <c r="K26" s="66">
        <v>162950</v>
      </c>
      <c r="L26" s="93"/>
    </row>
    <row r="27" spans="1:12" s="5" customFormat="1" ht="57" customHeight="1">
      <c r="A27" s="123"/>
      <c r="B27" s="115" t="s">
        <v>63</v>
      </c>
      <c r="C27" s="115" t="s">
        <v>86</v>
      </c>
      <c r="D27" s="115" t="s">
        <v>87</v>
      </c>
      <c r="E27" s="115" t="s">
        <v>88</v>
      </c>
      <c r="F27" s="116" t="s">
        <v>6</v>
      </c>
      <c r="G27" s="215" t="s">
        <v>83</v>
      </c>
      <c r="H27" s="216"/>
      <c r="I27" s="158" t="s">
        <v>65</v>
      </c>
      <c r="J27" s="126" t="s">
        <v>84</v>
      </c>
      <c r="K27" s="124" t="s">
        <v>6</v>
      </c>
      <c r="L27" s="93"/>
    </row>
    <row r="28" spans="1:12">
      <c r="A28" s="100">
        <v>2013</v>
      </c>
      <c r="B28" s="148" t="s">
        <v>28</v>
      </c>
      <c r="C28" s="44">
        <v>19330</v>
      </c>
      <c r="D28" s="44">
        <v>40658</v>
      </c>
      <c r="E28" s="44">
        <v>19128</v>
      </c>
      <c r="F28" s="44">
        <v>79116</v>
      </c>
      <c r="G28" s="217">
        <f>1495+87816</f>
        <v>89311</v>
      </c>
      <c r="H28" s="218"/>
      <c r="I28" s="44">
        <f>68616+134</f>
        <v>68750</v>
      </c>
      <c r="J28" s="44">
        <f>9156+2</f>
        <v>9158</v>
      </c>
      <c r="K28" s="67">
        <v>167219</v>
      </c>
      <c r="L28" s="93"/>
    </row>
    <row r="29" spans="1:12">
      <c r="A29" s="234">
        <v>2014</v>
      </c>
      <c r="B29" s="235" t="s">
        <v>28</v>
      </c>
      <c r="C29" s="236">
        <v>27516</v>
      </c>
      <c r="D29" s="236">
        <v>45399</v>
      </c>
      <c r="E29" s="236">
        <v>18372</v>
      </c>
      <c r="F29" s="236">
        <v>91287</v>
      </c>
      <c r="G29" s="237">
        <v>88459</v>
      </c>
      <c r="H29" s="238"/>
      <c r="I29" s="236">
        <v>71098</v>
      </c>
      <c r="J29" s="236">
        <v>9396</v>
      </c>
      <c r="K29" s="239">
        <v>168953</v>
      </c>
      <c r="L29" s="93"/>
    </row>
    <row r="30" spans="1:12">
      <c r="A30" s="240">
        <v>2015</v>
      </c>
      <c r="B30" s="241" t="s">
        <v>28</v>
      </c>
      <c r="C30" s="242">
        <v>31089</v>
      </c>
      <c r="D30" s="242">
        <v>45701</v>
      </c>
      <c r="E30" s="242">
        <v>21201</v>
      </c>
      <c r="F30" s="242">
        <v>97991</v>
      </c>
      <c r="G30" s="243">
        <v>85101</v>
      </c>
      <c r="H30" s="244"/>
      <c r="I30" s="242">
        <v>69856</v>
      </c>
      <c r="J30" s="242">
        <v>10315</v>
      </c>
      <c r="K30" s="245">
        <v>165272</v>
      </c>
      <c r="L30" s="93"/>
    </row>
    <row r="31" spans="1:1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125"/>
    </row>
    <row r="32" spans="1:12">
      <c r="A32" s="197" t="s">
        <v>47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9"/>
    </row>
    <row r="33" spans="1:11" ht="13.5" thickBo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3"/>
    </row>
  </sheetData>
  <mergeCells count="12">
    <mergeCell ref="A32:K32"/>
    <mergeCell ref="A2:K2"/>
    <mergeCell ref="A4:K4"/>
    <mergeCell ref="G7:K7"/>
    <mergeCell ref="G8:K8"/>
    <mergeCell ref="B8:F8"/>
    <mergeCell ref="B7:F7"/>
    <mergeCell ref="A5:K5"/>
    <mergeCell ref="G27:H27"/>
    <mergeCell ref="G28:H28"/>
    <mergeCell ref="G29:H29"/>
    <mergeCell ref="G30:H30"/>
  </mergeCells>
  <phoneticPr fontId="0" type="noConversion"/>
  <printOptions horizontalCentered="1"/>
  <pageMargins left="0.35433070866141736" right="0.11811023622047245" top="0.27559055118110237" bottom="0" header="0" footer="0"/>
  <pageSetup scale="11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R1" transitionEvaluation="1" transitionEntry="1"/>
  <dimension ref="A1:CC59"/>
  <sheetViews>
    <sheetView showGridLines="0" tabSelected="1" view="pageBreakPreview" zoomScale="120" zoomScaleNormal="75" zoomScaleSheetLayoutView="120" workbookViewId="0">
      <pane xSplit="1" topLeftCell="BR1" activePane="topRight" state="frozen"/>
      <selection activeCell="A7" sqref="A7"/>
      <selection pane="topRight" activeCell="AP6" sqref="AP6:BM6"/>
    </sheetView>
  </sheetViews>
  <sheetFormatPr defaultColWidth="9.625" defaultRowHeight="12.75"/>
  <cols>
    <col min="1" max="1" width="16.625" style="2" customWidth="1"/>
    <col min="2" max="2" width="4.75" style="2" customWidth="1"/>
    <col min="3" max="3" width="5.375" style="2" customWidth="1"/>
    <col min="4" max="5" width="5" style="2" customWidth="1"/>
    <col min="6" max="6" width="4.875" style="2" customWidth="1"/>
    <col min="7" max="7" width="4.75" style="2" customWidth="1"/>
    <col min="8" max="8" width="5.25" style="2" customWidth="1"/>
    <col min="9" max="9" width="5" style="2" customWidth="1"/>
    <col min="10" max="10" width="7.5" style="2" customWidth="1"/>
    <col min="11" max="14" width="9.125" style="2" customWidth="1"/>
    <col min="15" max="15" width="10.875" style="2" customWidth="1"/>
    <col min="16" max="16" width="9.25" style="2" customWidth="1"/>
    <col min="17" max="25" width="8.75" style="2" customWidth="1"/>
    <col min="26" max="30" width="5.375" style="2" customWidth="1"/>
    <col min="31" max="33" width="7.5" style="2" customWidth="1"/>
    <col min="34" max="38" width="8.625" style="2" customWidth="1"/>
    <col min="39" max="41" width="8.875" style="2" customWidth="1"/>
    <col min="42" max="49" width="8.25" style="2" customWidth="1"/>
    <col min="50" max="57" width="9.375" style="2" customWidth="1"/>
    <col min="58" max="65" width="9" style="2" customWidth="1"/>
    <col min="66" max="73" width="6.75" style="2" customWidth="1"/>
    <col min="74" max="74" width="8.375" style="2" customWidth="1"/>
    <col min="75" max="81" width="6.625" style="2" customWidth="1"/>
    <col min="82" max="87" width="9.625" style="2"/>
    <col min="88" max="89" width="50.625" style="2" customWidth="1"/>
    <col min="90" max="90" width="9.625" style="2"/>
    <col min="91" max="91" width="50.625" style="2" customWidth="1"/>
    <col min="92" max="16384" width="9.625" style="2"/>
  </cols>
  <sheetData>
    <row r="1" spans="1:81" ht="15.7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141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8"/>
      <c r="CC1" s="152"/>
    </row>
    <row r="2" spans="1:81" ht="15.75">
      <c r="A2" s="88"/>
      <c r="B2" s="89"/>
      <c r="C2" s="213" t="s">
        <v>70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 t="s">
        <v>70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9"/>
      <c r="AP2" s="220" t="s">
        <v>70</v>
      </c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 t="s">
        <v>70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9"/>
    </row>
    <row r="3" spans="1:81" ht="15.7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101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</row>
    <row r="4" spans="1:81" ht="15.75">
      <c r="A4" s="88"/>
      <c r="B4" s="89"/>
      <c r="C4" s="213" t="s">
        <v>73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 t="s">
        <v>73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9"/>
      <c r="AP4" s="220" t="s">
        <v>73</v>
      </c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 t="s">
        <v>73</v>
      </c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9"/>
    </row>
    <row r="5" spans="1:81" ht="15.75" customHeight="1">
      <c r="A5" s="88"/>
      <c r="B5" s="89"/>
      <c r="C5" s="213" t="s">
        <v>71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 t="s">
        <v>71</v>
      </c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9"/>
      <c r="AP5" s="220" t="s">
        <v>71</v>
      </c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 t="s">
        <v>71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9"/>
    </row>
    <row r="6" spans="1:81">
      <c r="A6" s="87"/>
      <c r="B6" s="90"/>
      <c r="C6" s="288" t="s">
        <v>68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 t="s">
        <v>68</v>
      </c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9"/>
      <c r="AP6" s="290" t="s">
        <v>68</v>
      </c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 t="s">
        <v>68</v>
      </c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9"/>
    </row>
    <row r="7" spans="1:81">
      <c r="A7" s="142"/>
      <c r="B7" s="211" t="s">
        <v>45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117"/>
      <c r="AM7" s="143"/>
      <c r="AN7" s="143"/>
      <c r="AO7" s="143"/>
      <c r="AP7" s="203" t="s">
        <v>46</v>
      </c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143"/>
      <c r="CB7" s="153"/>
      <c r="CC7" s="153"/>
    </row>
    <row r="8" spans="1:81">
      <c r="A8" s="136" t="s">
        <v>67</v>
      </c>
      <c r="B8" s="209"/>
      <c r="C8" s="206"/>
      <c r="D8" s="206"/>
      <c r="E8" s="206"/>
      <c r="F8" s="206"/>
      <c r="G8" s="206"/>
      <c r="H8" s="206"/>
      <c r="I8" s="206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119"/>
      <c r="AJ8" s="119"/>
      <c r="AK8" s="119"/>
      <c r="AL8" s="119"/>
      <c r="AM8" s="145"/>
      <c r="AN8" s="145"/>
      <c r="AO8" s="145"/>
      <c r="AP8" s="206"/>
      <c r="AQ8" s="206"/>
      <c r="AR8" s="206"/>
      <c r="AS8" s="206"/>
      <c r="AT8" s="206"/>
      <c r="AU8" s="206"/>
      <c r="AV8" s="206"/>
      <c r="AW8" s="206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7" t="s">
        <v>0</v>
      </c>
      <c r="BX8" s="8"/>
      <c r="BY8" s="8"/>
      <c r="BZ8" s="8"/>
      <c r="CA8" s="8"/>
      <c r="CB8" s="8"/>
      <c r="CC8" s="152"/>
    </row>
    <row r="9" spans="1:81" ht="18" customHeight="1" thickBot="1">
      <c r="A9" s="136"/>
      <c r="B9" s="223" t="s">
        <v>63</v>
      </c>
      <c r="C9" s="222"/>
      <c r="D9" s="222"/>
      <c r="E9" s="222"/>
      <c r="F9" s="222"/>
      <c r="G9" s="120"/>
      <c r="H9" s="147"/>
      <c r="I9" s="147"/>
      <c r="J9" s="222" t="s">
        <v>64</v>
      </c>
      <c r="K9" s="222"/>
      <c r="L9" s="222"/>
      <c r="M9" s="222"/>
      <c r="N9" s="222"/>
      <c r="O9" s="120"/>
      <c r="P9" s="147"/>
      <c r="Q9" s="147"/>
      <c r="R9" s="222" t="s">
        <v>65</v>
      </c>
      <c r="S9" s="222"/>
      <c r="T9" s="222"/>
      <c r="U9" s="222"/>
      <c r="V9" s="222"/>
      <c r="W9" s="120"/>
      <c r="X9" s="147"/>
      <c r="Y9" s="147"/>
      <c r="Z9" s="222" t="s">
        <v>66</v>
      </c>
      <c r="AA9" s="222"/>
      <c r="AB9" s="222"/>
      <c r="AC9" s="222"/>
      <c r="AD9" s="222"/>
      <c r="AE9" s="120"/>
      <c r="AF9" s="147"/>
      <c r="AG9" s="147"/>
      <c r="AH9" s="221" t="s">
        <v>6</v>
      </c>
      <c r="AI9" s="221"/>
      <c r="AJ9" s="221"/>
      <c r="AK9" s="221"/>
      <c r="AL9" s="221"/>
      <c r="AM9" s="146"/>
      <c r="AN9" s="150"/>
      <c r="AO9" s="146"/>
      <c r="AP9" s="222" t="s">
        <v>82</v>
      </c>
      <c r="AQ9" s="222"/>
      <c r="AR9" s="222"/>
      <c r="AS9" s="222"/>
      <c r="AT9" s="222"/>
      <c r="AU9" s="147"/>
      <c r="AV9" s="157"/>
      <c r="AW9" s="147"/>
      <c r="AX9" s="222" t="s">
        <v>85</v>
      </c>
      <c r="AY9" s="222"/>
      <c r="AZ9" s="222"/>
      <c r="BA9" s="222"/>
      <c r="BB9" s="222"/>
      <c r="BC9" s="108" t="s">
        <v>83</v>
      </c>
      <c r="BD9" s="108"/>
      <c r="BE9" s="108"/>
      <c r="BF9" s="222" t="s">
        <v>65</v>
      </c>
      <c r="BG9" s="222"/>
      <c r="BH9" s="222"/>
      <c r="BI9" s="222"/>
      <c r="BJ9" s="222"/>
      <c r="BK9" s="120"/>
      <c r="BL9" s="147"/>
      <c r="BM9" s="147"/>
      <c r="BN9" s="222" t="s">
        <v>66</v>
      </c>
      <c r="BO9" s="222"/>
      <c r="BP9" s="222"/>
      <c r="BQ9" s="222"/>
      <c r="BR9" s="222"/>
      <c r="BS9" s="120"/>
      <c r="BT9" s="147"/>
      <c r="BU9" s="147"/>
      <c r="BV9" s="221" t="s">
        <v>6</v>
      </c>
      <c r="BW9" s="221"/>
      <c r="BX9" s="221"/>
      <c r="BY9" s="221"/>
      <c r="BZ9" s="221"/>
      <c r="CA9" s="146"/>
      <c r="CB9" s="154"/>
      <c r="CC9" s="154"/>
    </row>
    <row r="10" spans="1:81">
      <c r="A10" s="127"/>
      <c r="B10" s="128"/>
      <c r="C10" s="129"/>
      <c r="D10" s="129"/>
      <c r="E10" s="129"/>
      <c r="F10" s="129"/>
      <c r="G10" s="129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31"/>
      <c r="AI10" s="131"/>
      <c r="AJ10" s="131"/>
      <c r="AK10" s="131"/>
      <c r="AL10" s="131"/>
      <c r="AM10" s="131"/>
      <c r="AN10" s="19"/>
      <c r="AO10" s="131"/>
      <c r="AP10" s="129"/>
      <c r="AQ10" s="129"/>
      <c r="AR10" s="129"/>
      <c r="AS10" s="129"/>
      <c r="AT10" s="129"/>
      <c r="AU10" s="129"/>
      <c r="AV10" s="129"/>
      <c r="AW10" s="129"/>
      <c r="AX10" s="130"/>
      <c r="AY10" s="130"/>
      <c r="AZ10" s="130"/>
      <c r="BA10" s="130"/>
      <c r="BB10" s="130"/>
      <c r="BC10" s="130"/>
      <c r="BD10" s="130"/>
      <c r="BE10" s="130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31"/>
      <c r="BW10" s="132" t="s">
        <v>11</v>
      </c>
      <c r="BX10" s="133" t="s">
        <v>12</v>
      </c>
      <c r="BY10" s="133"/>
      <c r="BZ10" s="132" t="s">
        <v>0</v>
      </c>
      <c r="CA10" s="132"/>
      <c r="CB10" s="81" t="s">
        <v>0</v>
      </c>
      <c r="CC10" s="152"/>
    </row>
    <row r="11" spans="1:81">
      <c r="A11" s="134"/>
      <c r="B11" s="102"/>
      <c r="C11" s="12"/>
      <c r="D11" s="12"/>
      <c r="E11" s="12"/>
      <c r="F11" s="12"/>
      <c r="G11" s="12"/>
      <c r="H11" s="18"/>
      <c r="I11" s="18"/>
      <c r="J11" s="118"/>
      <c r="K11" s="118"/>
      <c r="L11" s="118"/>
      <c r="M11" s="118"/>
      <c r="N11" s="118"/>
      <c r="O11" s="118"/>
      <c r="P11" s="144"/>
      <c r="Q11" s="144"/>
      <c r="R11" s="12"/>
      <c r="S11" s="12"/>
      <c r="T11" s="12"/>
      <c r="U11" s="12"/>
      <c r="V11" s="12"/>
      <c r="W11" s="12"/>
      <c r="X11" s="18"/>
      <c r="Y11" s="12"/>
      <c r="Z11" s="12"/>
      <c r="AA11" s="12"/>
      <c r="AB11" s="12"/>
      <c r="AC11" s="12"/>
      <c r="AD11" s="12"/>
      <c r="AE11" s="12"/>
      <c r="AF11" s="18"/>
      <c r="AG11" s="12"/>
      <c r="AH11" s="11"/>
      <c r="AI11" s="11"/>
      <c r="AJ11" s="11"/>
      <c r="AK11" s="11"/>
      <c r="AL11" s="11"/>
      <c r="AM11" s="11"/>
      <c r="AN11" s="22"/>
      <c r="AO11" s="22"/>
      <c r="AP11" s="18"/>
      <c r="AQ11" s="18"/>
      <c r="AR11" s="18"/>
      <c r="AS11" s="18"/>
      <c r="AT11" s="18"/>
      <c r="AU11" s="18"/>
      <c r="AV11" s="18"/>
      <c r="AW11" s="18"/>
      <c r="AX11" s="118"/>
      <c r="AY11" s="118"/>
      <c r="AZ11" s="118"/>
      <c r="BA11" s="118"/>
      <c r="BB11" s="118"/>
      <c r="BC11" s="118"/>
      <c r="BD11" s="144"/>
      <c r="BE11" s="144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22"/>
      <c r="BW11" s="81" t="s">
        <v>12</v>
      </c>
      <c r="BX11" s="81" t="s">
        <v>12</v>
      </c>
      <c r="BY11" s="81"/>
      <c r="BZ11" s="8"/>
      <c r="CA11" s="8"/>
      <c r="CB11" s="8"/>
      <c r="CC11" s="152"/>
    </row>
    <row r="12" spans="1:81">
      <c r="A12" s="135"/>
      <c r="B12" s="103">
        <v>2008</v>
      </c>
      <c r="C12" s="104">
        <v>2009</v>
      </c>
      <c r="D12" s="104">
        <v>2010</v>
      </c>
      <c r="E12" s="104">
        <v>2011</v>
      </c>
      <c r="F12" s="104">
        <v>2012</v>
      </c>
      <c r="G12" s="104">
        <v>2013</v>
      </c>
      <c r="H12" s="246">
        <v>2014</v>
      </c>
      <c r="I12" s="246">
        <v>2015</v>
      </c>
      <c r="J12" s="103">
        <v>2008</v>
      </c>
      <c r="K12" s="104">
        <v>2009</v>
      </c>
      <c r="L12" s="104">
        <v>2010</v>
      </c>
      <c r="M12" s="104">
        <v>2011</v>
      </c>
      <c r="N12" s="104">
        <v>2012</v>
      </c>
      <c r="O12" s="104">
        <v>2013</v>
      </c>
      <c r="P12" s="246">
        <v>2014</v>
      </c>
      <c r="Q12" s="253">
        <v>2015</v>
      </c>
      <c r="R12" s="104">
        <v>2008</v>
      </c>
      <c r="S12" s="104">
        <v>2009</v>
      </c>
      <c r="T12" s="104">
        <v>2010</v>
      </c>
      <c r="U12" s="104">
        <v>2011</v>
      </c>
      <c r="V12" s="104">
        <v>2012</v>
      </c>
      <c r="W12" s="104">
        <v>2013</v>
      </c>
      <c r="X12" s="246">
        <v>2014</v>
      </c>
      <c r="Y12" s="246">
        <v>2015</v>
      </c>
      <c r="Z12" s="103">
        <v>2008</v>
      </c>
      <c r="AA12" s="104">
        <v>2009</v>
      </c>
      <c r="AB12" s="104">
        <v>2010</v>
      </c>
      <c r="AC12" s="104">
        <v>2011</v>
      </c>
      <c r="AD12" s="104">
        <v>2012</v>
      </c>
      <c r="AE12" s="104">
        <v>2013</v>
      </c>
      <c r="AF12" s="246">
        <v>2014</v>
      </c>
      <c r="AG12" s="253">
        <v>2015</v>
      </c>
      <c r="AH12" s="10">
        <v>2008</v>
      </c>
      <c r="AI12" s="10">
        <v>2009</v>
      </c>
      <c r="AJ12" s="10">
        <v>2010</v>
      </c>
      <c r="AK12" s="10">
        <v>2011</v>
      </c>
      <c r="AL12" s="118">
        <v>2012</v>
      </c>
      <c r="AM12" s="10">
        <v>2013</v>
      </c>
      <c r="AN12" s="246">
        <v>2014</v>
      </c>
      <c r="AO12" s="253">
        <v>2015</v>
      </c>
      <c r="AP12" s="103">
        <v>2008</v>
      </c>
      <c r="AQ12" s="104">
        <v>2009</v>
      </c>
      <c r="AR12" s="104">
        <v>2010</v>
      </c>
      <c r="AS12" s="104">
        <v>2011</v>
      </c>
      <c r="AT12" s="104">
        <v>2012</v>
      </c>
      <c r="AU12" s="104">
        <v>2013</v>
      </c>
      <c r="AV12" s="246">
        <v>2014</v>
      </c>
      <c r="AW12" s="246">
        <v>2015</v>
      </c>
      <c r="AX12" s="103">
        <v>2008</v>
      </c>
      <c r="AY12" s="104">
        <v>2009</v>
      </c>
      <c r="AZ12" s="104">
        <v>2010</v>
      </c>
      <c r="BA12" s="104">
        <v>2011</v>
      </c>
      <c r="BB12" s="104">
        <v>2012</v>
      </c>
      <c r="BC12" s="104">
        <v>2013</v>
      </c>
      <c r="BD12" s="246">
        <v>2014</v>
      </c>
      <c r="BE12" s="246">
        <v>2015</v>
      </c>
      <c r="BF12" s="103">
        <v>2008</v>
      </c>
      <c r="BG12" s="104">
        <v>2009</v>
      </c>
      <c r="BH12" s="104">
        <v>2010</v>
      </c>
      <c r="BI12" s="104">
        <v>2011</v>
      </c>
      <c r="BJ12" s="104">
        <v>2012</v>
      </c>
      <c r="BK12" s="104">
        <v>2013</v>
      </c>
      <c r="BL12" s="246">
        <v>2014</v>
      </c>
      <c r="BM12" s="246">
        <v>2015</v>
      </c>
      <c r="BN12" s="103">
        <v>2008</v>
      </c>
      <c r="BO12" s="104">
        <v>2009</v>
      </c>
      <c r="BP12" s="104">
        <v>2010</v>
      </c>
      <c r="BQ12" s="104">
        <v>2011</v>
      </c>
      <c r="BR12" s="104">
        <v>2012</v>
      </c>
      <c r="BS12" s="104">
        <v>2013</v>
      </c>
      <c r="BT12" s="246">
        <v>2014</v>
      </c>
      <c r="BU12" s="246">
        <v>2015</v>
      </c>
      <c r="BV12" s="103">
        <v>2008</v>
      </c>
      <c r="BW12" s="104">
        <v>2009</v>
      </c>
      <c r="BX12" s="104">
        <v>2010</v>
      </c>
      <c r="BY12" s="104">
        <v>2011</v>
      </c>
      <c r="BZ12" s="105">
        <v>2012</v>
      </c>
      <c r="CA12" s="104">
        <v>2013</v>
      </c>
      <c r="CB12" s="278">
        <v>2014</v>
      </c>
      <c r="CC12" s="278">
        <v>2015</v>
      </c>
    </row>
    <row r="13" spans="1:81">
      <c r="A13" s="136" t="s">
        <v>15</v>
      </c>
      <c r="B13" s="21" t="s">
        <v>16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47">
        <v>8</v>
      </c>
      <c r="I13" s="247">
        <v>9</v>
      </c>
      <c r="J13" s="114">
        <v>10</v>
      </c>
      <c r="K13" s="94">
        <v>11</v>
      </c>
      <c r="L13" s="94">
        <v>12</v>
      </c>
      <c r="M13" s="94">
        <v>13</v>
      </c>
      <c r="N13" s="94">
        <v>14</v>
      </c>
      <c r="O13" s="94">
        <v>15</v>
      </c>
      <c r="P13" s="247">
        <v>16</v>
      </c>
      <c r="Q13" s="254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247">
        <v>24</v>
      </c>
      <c r="Y13" s="247">
        <v>25</v>
      </c>
      <c r="Z13" s="21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247">
        <v>32</v>
      </c>
      <c r="AG13" s="254">
        <v>33</v>
      </c>
      <c r="AH13" s="18">
        <v>34</v>
      </c>
      <c r="AI13" s="18">
        <v>35</v>
      </c>
      <c r="AJ13" s="18">
        <v>36</v>
      </c>
      <c r="AK13" s="18">
        <v>37</v>
      </c>
      <c r="AL13" s="94">
        <v>38</v>
      </c>
      <c r="AM13" s="18">
        <v>39</v>
      </c>
      <c r="AN13" s="247">
        <v>40</v>
      </c>
      <c r="AO13" s="254">
        <v>41</v>
      </c>
      <c r="AP13" s="21">
        <v>42</v>
      </c>
      <c r="AQ13" s="18">
        <v>43</v>
      </c>
      <c r="AR13" s="18">
        <v>44</v>
      </c>
      <c r="AS13" s="18">
        <v>45</v>
      </c>
      <c r="AT13" s="18">
        <v>46</v>
      </c>
      <c r="AU13" s="18">
        <v>47</v>
      </c>
      <c r="AV13" s="247">
        <v>48</v>
      </c>
      <c r="AW13" s="247">
        <v>49</v>
      </c>
      <c r="AX13" s="21">
        <v>50</v>
      </c>
      <c r="AY13" s="18">
        <v>51</v>
      </c>
      <c r="AZ13" s="18">
        <v>52</v>
      </c>
      <c r="BA13" s="18">
        <v>53</v>
      </c>
      <c r="BB13" s="18">
        <v>54</v>
      </c>
      <c r="BC13" s="18">
        <v>55</v>
      </c>
      <c r="BD13" s="247">
        <v>56</v>
      </c>
      <c r="BE13" s="247">
        <v>57</v>
      </c>
      <c r="BF13" s="21">
        <v>58</v>
      </c>
      <c r="BG13" s="18">
        <v>59</v>
      </c>
      <c r="BH13" s="18">
        <v>60</v>
      </c>
      <c r="BI13" s="18">
        <v>61</v>
      </c>
      <c r="BJ13" s="18">
        <v>62</v>
      </c>
      <c r="BK13" s="18">
        <v>63</v>
      </c>
      <c r="BL13" s="247">
        <v>64</v>
      </c>
      <c r="BM13" s="247">
        <v>65</v>
      </c>
      <c r="BN13" s="21">
        <v>66</v>
      </c>
      <c r="BO13" s="18">
        <v>67</v>
      </c>
      <c r="BP13" s="18">
        <v>68</v>
      </c>
      <c r="BQ13" s="18">
        <v>69</v>
      </c>
      <c r="BR13" s="18">
        <v>70</v>
      </c>
      <c r="BS13" s="18">
        <v>71</v>
      </c>
      <c r="BT13" s="247">
        <v>72</v>
      </c>
      <c r="BU13" s="247">
        <v>73</v>
      </c>
      <c r="BV13" s="21">
        <v>74</v>
      </c>
      <c r="BW13" s="22">
        <v>75</v>
      </c>
      <c r="BX13" s="19">
        <v>76</v>
      </c>
      <c r="BY13" s="19">
        <v>77</v>
      </c>
      <c r="BZ13" s="74">
        <v>78</v>
      </c>
      <c r="CA13" s="74">
        <v>79</v>
      </c>
      <c r="CB13" s="279">
        <v>80</v>
      </c>
      <c r="CC13" s="280">
        <v>81</v>
      </c>
    </row>
    <row r="14" spans="1:81">
      <c r="A14" s="137"/>
      <c r="B14" s="26"/>
      <c r="C14" s="11"/>
      <c r="D14" s="11"/>
      <c r="E14" s="11"/>
      <c r="F14" s="11"/>
      <c r="G14" s="11"/>
      <c r="H14" s="248"/>
      <c r="I14" s="248"/>
      <c r="J14" s="26"/>
      <c r="K14" s="11"/>
      <c r="L14" s="11"/>
      <c r="M14" s="11"/>
      <c r="N14" s="11"/>
      <c r="O14" s="11"/>
      <c r="P14" s="248"/>
      <c r="Q14" s="255"/>
      <c r="R14" s="11"/>
      <c r="S14" s="11"/>
      <c r="T14" s="11"/>
      <c r="U14" s="11"/>
      <c r="V14" s="11"/>
      <c r="W14" s="11"/>
      <c r="X14" s="248"/>
      <c r="Y14" s="248"/>
      <c r="Z14" s="26"/>
      <c r="AA14" s="11"/>
      <c r="AB14" s="11"/>
      <c r="AC14" s="11"/>
      <c r="AD14" s="11"/>
      <c r="AE14" s="11"/>
      <c r="AF14" s="248"/>
      <c r="AG14" s="255"/>
      <c r="AH14" s="11"/>
      <c r="AI14" s="11"/>
      <c r="AJ14" s="11"/>
      <c r="AK14" s="11"/>
      <c r="AL14" s="22"/>
      <c r="AM14" s="11"/>
      <c r="AN14" s="248"/>
      <c r="AO14" s="255"/>
      <c r="AP14" s="26"/>
      <c r="AQ14" s="11"/>
      <c r="AR14" s="11"/>
      <c r="AS14" s="11"/>
      <c r="AT14" s="11"/>
      <c r="AU14" s="22"/>
      <c r="AV14" s="248"/>
      <c r="AW14" s="248"/>
      <c r="AX14" s="92"/>
      <c r="AY14" s="9"/>
      <c r="AZ14" s="9"/>
      <c r="BA14" s="9"/>
      <c r="BB14" s="9"/>
      <c r="BC14" s="9"/>
      <c r="BD14" s="275"/>
      <c r="BE14" s="275"/>
      <c r="BF14" s="24"/>
      <c r="BG14" s="10"/>
      <c r="BH14" s="10"/>
      <c r="BI14" s="10"/>
      <c r="BJ14" s="10"/>
      <c r="BK14" s="10"/>
      <c r="BL14" s="276"/>
      <c r="BM14" s="276"/>
      <c r="BN14" s="24"/>
      <c r="BO14" s="10"/>
      <c r="BP14" s="10"/>
      <c r="BQ14" s="10"/>
      <c r="BR14" s="10"/>
      <c r="BS14" s="10"/>
      <c r="BT14" s="276"/>
      <c r="BU14" s="276"/>
      <c r="BV14" s="102"/>
      <c r="BW14" s="7" t="s">
        <v>12</v>
      </c>
      <c r="BX14" s="8"/>
      <c r="BY14" s="8"/>
      <c r="BZ14" s="6"/>
      <c r="CA14" s="8"/>
      <c r="CB14" s="281"/>
      <c r="CC14" s="281"/>
    </row>
    <row r="15" spans="1:81">
      <c r="A15" s="136" t="s">
        <v>26</v>
      </c>
      <c r="B15" s="28"/>
      <c r="C15" s="29"/>
      <c r="D15" s="29"/>
      <c r="E15" s="29"/>
      <c r="F15" s="29"/>
      <c r="G15" s="29"/>
      <c r="H15" s="249"/>
      <c r="I15" s="249"/>
      <c r="J15" s="28"/>
      <c r="K15" s="29"/>
      <c r="L15" s="29"/>
      <c r="M15" s="29"/>
      <c r="N15" s="29"/>
      <c r="O15" s="29"/>
      <c r="P15" s="249"/>
      <c r="Q15" s="256"/>
      <c r="R15" s="29"/>
      <c r="S15" s="29"/>
      <c r="T15" s="29"/>
      <c r="U15" s="29"/>
      <c r="V15" s="29"/>
      <c r="W15" s="29"/>
      <c r="X15" s="249"/>
      <c r="Y15" s="249"/>
      <c r="Z15" s="28" t="s">
        <v>0</v>
      </c>
      <c r="AA15" s="29"/>
      <c r="AB15" s="29"/>
      <c r="AC15" s="29"/>
      <c r="AD15" s="29"/>
      <c r="AE15" s="29"/>
      <c r="AF15" s="249"/>
      <c r="AG15" s="256"/>
      <c r="AH15" s="30"/>
      <c r="AI15" s="30"/>
      <c r="AJ15" s="30"/>
      <c r="AK15" s="30"/>
      <c r="AL15" s="95"/>
      <c r="AM15" s="30"/>
      <c r="AN15" s="264"/>
      <c r="AO15" s="265"/>
      <c r="AP15" s="28"/>
      <c r="AQ15" s="29"/>
      <c r="AR15" s="29"/>
      <c r="AS15" s="29"/>
      <c r="AT15" s="29"/>
      <c r="AU15" s="151"/>
      <c r="AV15" s="249"/>
      <c r="AW15" s="249"/>
      <c r="AX15" s="28"/>
      <c r="AY15" s="29"/>
      <c r="AZ15" s="29"/>
      <c r="BA15" s="29"/>
      <c r="BB15" s="29"/>
      <c r="BC15" s="29"/>
      <c r="BD15" s="249"/>
      <c r="BE15" s="249"/>
      <c r="BF15" s="28"/>
      <c r="BG15" s="29"/>
      <c r="BH15" s="29"/>
      <c r="BI15" s="29"/>
      <c r="BJ15" s="29"/>
      <c r="BK15" s="29"/>
      <c r="BL15" s="249"/>
      <c r="BM15" s="249"/>
      <c r="BN15" s="28"/>
      <c r="BO15" s="29"/>
      <c r="BP15" s="29"/>
      <c r="BQ15" s="29"/>
      <c r="BR15" s="29"/>
      <c r="BS15" s="29"/>
      <c r="BT15" s="249"/>
      <c r="BU15" s="249"/>
      <c r="BV15" s="111"/>
      <c r="BW15" s="75"/>
      <c r="BX15" s="76"/>
      <c r="BY15" s="76"/>
      <c r="BZ15" s="44"/>
      <c r="CA15" s="76"/>
      <c r="CB15" s="236"/>
      <c r="CC15" s="282"/>
    </row>
    <row r="16" spans="1:81" s="5" customFormat="1">
      <c r="A16" s="138" t="s">
        <v>27</v>
      </c>
      <c r="B16" s="31" t="s">
        <v>28</v>
      </c>
      <c r="C16" s="32" t="s">
        <v>28</v>
      </c>
      <c r="D16" s="32" t="s">
        <v>28</v>
      </c>
      <c r="E16" s="32" t="s">
        <v>28</v>
      </c>
      <c r="F16" s="32" t="s">
        <v>28</v>
      </c>
      <c r="G16" s="32" t="s">
        <v>28</v>
      </c>
      <c r="H16" s="250" t="s">
        <v>28</v>
      </c>
      <c r="I16" s="250" t="s">
        <v>28</v>
      </c>
      <c r="J16" s="31">
        <v>336</v>
      </c>
      <c r="K16" s="32">
        <v>265</v>
      </c>
      <c r="L16" s="32">
        <v>249</v>
      </c>
      <c r="M16" s="32">
        <v>249</v>
      </c>
      <c r="N16" s="32">
        <v>318</v>
      </c>
      <c r="O16" s="32">
        <v>418</v>
      </c>
      <c r="P16" s="250">
        <v>664</v>
      </c>
      <c r="Q16" s="257">
        <v>621</v>
      </c>
      <c r="R16" s="32">
        <v>2765</v>
      </c>
      <c r="S16" s="32">
        <v>2566</v>
      </c>
      <c r="T16" s="32">
        <v>2289</v>
      </c>
      <c r="U16" s="32">
        <v>2184</v>
      </c>
      <c r="V16" s="32">
        <v>1849</v>
      </c>
      <c r="W16" s="32">
        <v>2206</v>
      </c>
      <c r="X16" s="250">
        <v>3424</v>
      </c>
      <c r="Y16" s="250">
        <v>2374</v>
      </c>
      <c r="Z16" s="31">
        <v>1371</v>
      </c>
      <c r="AA16" s="32">
        <v>1706</v>
      </c>
      <c r="AB16" s="32">
        <v>1999</v>
      </c>
      <c r="AC16" s="32">
        <v>2104</v>
      </c>
      <c r="AD16" s="32">
        <v>2370</v>
      </c>
      <c r="AE16" s="32">
        <v>2398</v>
      </c>
      <c r="AF16" s="250">
        <v>2502</v>
      </c>
      <c r="AG16" s="257">
        <v>1675</v>
      </c>
      <c r="AH16" s="33">
        <v>4472</v>
      </c>
      <c r="AI16" s="33">
        <f t="shared" ref="AI16:AI44" si="0">SUM(C16,K16,S16,AA16)</f>
        <v>4537</v>
      </c>
      <c r="AJ16" s="33">
        <f t="shared" ref="AJ16:AJ44" si="1">SUM(D16,L16,T16,AB16)</f>
        <v>4537</v>
      </c>
      <c r="AK16" s="33">
        <f t="shared" ref="AK16:AK44" si="2">SUM(E16,M16,U16,AC16)</f>
        <v>4537</v>
      </c>
      <c r="AL16" s="33">
        <f t="shared" ref="AL16:AL44" si="3">F16+N16+V16+AD16</f>
        <v>4537</v>
      </c>
      <c r="AM16" s="33">
        <v>5022</v>
      </c>
      <c r="AN16" s="266">
        <v>6590</v>
      </c>
      <c r="AO16" s="267">
        <v>4670</v>
      </c>
      <c r="AP16" s="31">
        <v>1708</v>
      </c>
      <c r="AQ16" s="32">
        <v>1660</v>
      </c>
      <c r="AR16" s="32">
        <v>1512</v>
      </c>
      <c r="AS16" s="32">
        <v>1413</v>
      </c>
      <c r="AT16" s="32">
        <v>1488</v>
      </c>
      <c r="AU16" s="32" t="s">
        <v>28</v>
      </c>
      <c r="AV16" s="250" t="s">
        <v>28</v>
      </c>
      <c r="AW16" s="250" t="s">
        <v>28</v>
      </c>
      <c r="AX16" s="31">
        <v>994</v>
      </c>
      <c r="AY16" s="32">
        <v>997</v>
      </c>
      <c r="AZ16" s="32">
        <v>984</v>
      </c>
      <c r="BA16" s="32">
        <v>979</v>
      </c>
      <c r="BB16" s="32">
        <v>981</v>
      </c>
      <c r="BC16" s="32">
        <f>17+2309</f>
        <v>2326</v>
      </c>
      <c r="BD16" s="250">
        <v>1866</v>
      </c>
      <c r="BE16" s="250">
        <v>1691</v>
      </c>
      <c r="BF16" s="31">
        <v>7181</v>
      </c>
      <c r="BG16" s="32">
        <v>7187</v>
      </c>
      <c r="BH16" s="32">
        <v>7340</v>
      </c>
      <c r="BI16" s="32">
        <v>7440</v>
      </c>
      <c r="BJ16" s="32">
        <v>7487</v>
      </c>
      <c r="BK16" s="32">
        <f>2+7629</f>
        <v>7631</v>
      </c>
      <c r="BL16" s="250">
        <v>4289</v>
      </c>
      <c r="BM16" s="250">
        <v>4458</v>
      </c>
      <c r="BN16" s="31">
        <v>413</v>
      </c>
      <c r="BO16" s="32">
        <v>477</v>
      </c>
      <c r="BP16" s="32">
        <v>497</v>
      </c>
      <c r="BQ16" s="32">
        <v>511</v>
      </c>
      <c r="BR16" s="32">
        <v>550</v>
      </c>
      <c r="BS16" s="32">
        <f>0+611</f>
        <v>611</v>
      </c>
      <c r="BT16" s="250">
        <v>212</v>
      </c>
      <c r="BU16" s="250">
        <v>232</v>
      </c>
      <c r="BV16" s="31">
        <v>10357</v>
      </c>
      <c r="BW16" s="82">
        <f t="shared" ref="BW16:BW44" si="4">SUM(AQ16,AY16,BG16,BO16)</f>
        <v>10321</v>
      </c>
      <c r="BX16" s="82">
        <f t="shared" ref="BX16:BX44" si="5">SUM(AR16,AZ16,BH16,BP16)</f>
        <v>10333</v>
      </c>
      <c r="BY16" s="82">
        <v>10343</v>
      </c>
      <c r="BZ16" s="82">
        <v>10506</v>
      </c>
      <c r="CA16" s="192">
        <v>10568</v>
      </c>
      <c r="CB16" s="283">
        <v>6367</v>
      </c>
      <c r="CC16" s="284">
        <v>6381</v>
      </c>
    </row>
    <row r="17" spans="1:81">
      <c r="A17" s="138" t="s">
        <v>29</v>
      </c>
      <c r="B17" s="28" t="s">
        <v>28</v>
      </c>
      <c r="C17" s="29" t="s">
        <v>28</v>
      </c>
      <c r="D17" s="29" t="s">
        <v>28</v>
      </c>
      <c r="E17" s="29" t="s">
        <v>28</v>
      </c>
      <c r="F17" s="29" t="s">
        <v>28</v>
      </c>
      <c r="G17" s="29" t="s">
        <v>28</v>
      </c>
      <c r="H17" s="249" t="s">
        <v>28</v>
      </c>
      <c r="I17" s="249" t="s">
        <v>28</v>
      </c>
      <c r="J17" s="28">
        <v>340</v>
      </c>
      <c r="K17" s="29">
        <v>1940</v>
      </c>
      <c r="L17" s="29">
        <v>1940</v>
      </c>
      <c r="M17" s="29">
        <v>1908</v>
      </c>
      <c r="N17" s="29">
        <v>1811</v>
      </c>
      <c r="O17" s="29">
        <v>1811</v>
      </c>
      <c r="P17" s="249">
        <v>1957</v>
      </c>
      <c r="Q17" s="256">
        <v>2361</v>
      </c>
      <c r="R17" s="29">
        <v>52</v>
      </c>
      <c r="S17" s="29">
        <v>52</v>
      </c>
      <c r="T17" s="29">
        <v>52</v>
      </c>
      <c r="U17" s="29">
        <v>84</v>
      </c>
      <c r="V17" s="29">
        <v>216</v>
      </c>
      <c r="W17" s="29">
        <v>216</v>
      </c>
      <c r="X17" s="249">
        <v>70</v>
      </c>
      <c r="Y17" s="249">
        <v>152</v>
      </c>
      <c r="Z17" s="110" t="s">
        <v>28</v>
      </c>
      <c r="AA17" s="29" t="s">
        <v>28</v>
      </c>
      <c r="AB17" s="29" t="s">
        <v>28</v>
      </c>
      <c r="AC17" s="29" t="s">
        <v>28</v>
      </c>
      <c r="AD17" s="29" t="s">
        <v>28</v>
      </c>
      <c r="AE17" s="29">
        <v>0</v>
      </c>
      <c r="AF17" s="249">
        <v>0</v>
      </c>
      <c r="AG17" s="256">
        <v>0</v>
      </c>
      <c r="AH17" s="30">
        <v>392</v>
      </c>
      <c r="AI17" s="30">
        <f t="shared" si="0"/>
        <v>1992</v>
      </c>
      <c r="AJ17" s="30">
        <f t="shared" si="1"/>
        <v>1992</v>
      </c>
      <c r="AK17" s="30">
        <f t="shared" si="2"/>
        <v>1992</v>
      </c>
      <c r="AL17" s="30">
        <f t="shared" si="3"/>
        <v>2027</v>
      </c>
      <c r="AM17" s="30">
        <v>2027</v>
      </c>
      <c r="AN17" s="264">
        <v>2027</v>
      </c>
      <c r="AO17" s="265">
        <v>2513</v>
      </c>
      <c r="AP17" s="110" t="s">
        <v>28</v>
      </c>
      <c r="AQ17" s="29" t="s">
        <v>28</v>
      </c>
      <c r="AR17" s="29" t="s">
        <v>28</v>
      </c>
      <c r="AS17" s="29" t="s">
        <v>28</v>
      </c>
      <c r="AT17" s="29" t="s">
        <v>28</v>
      </c>
      <c r="AU17" s="29" t="s">
        <v>28</v>
      </c>
      <c r="AV17" s="249" t="s">
        <v>28</v>
      </c>
      <c r="AW17" s="249" t="s">
        <v>28</v>
      </c>
      <c r="AX17" s="110" t="s">
        <v>28</v>
      </c>
      <c r="AY17" s="29" t="s">
        <v>28</v>
      </c>
      <c r="AZ17" s="29" t="s">
        <v>28</v>
      </c>
      <c r="BA17" s="29" t="s">
        <v>28</v>
      </c>
      <c r="BB17" s="29" t="s">
        <v>74</v>
      </c>
      <c r="BC17" s="34" t="s">
        <v>28</v>
      </c>
      <c r="BD17" s="261">
        <v>0</v>
      </c>
      <c r="BE17" s="261">
        <v>0</v>
      </c>
      <c r="BF17" s="110" t="s">
        <v>28</v>
      </c>
      <c r="BG17" s="29" t="s">
        <v>28</v>
      </c>
      <c r="BH17" s="29" t="s">
        <v>28</v>
      </c>
      <c r="BI17" s="29" t="s">
        <v>28</v>
      </c>
      <c r="BJ17" s="29" t="s">
        <v>28</v>
      </c>
      <c r="BK17" s="29" t="s">
        <v>28</v>
      </c>
      <c r="BL17" s="249">
        <v>0</v>
      </c>
      <c r="BM17" s="249">
        <v>0</v>
      </c>
      <c r="BN17" s="110" t="s">
        <v>28</v>
      </c>
      <c r="BO17" s="29" t="s">
        <v>28</v>
      </c>
      <c r="BP17" s="29" t="s">
        <v>28</v>
      </c>
      <c r="BQ17" s="29" t="s">
        <v>28</v>
      </c>
      <c r="BR17" s="29" t="s">
        <v>28</v>
      </c>
      <c r="BS17" s="34" t="s">
        <v>28</v>
      </c>
      <c r="BT17" s="261">
        <v>0</v>
      </c>
      <c r="BU17" s="261">
        <v>0</v>
      </c>
      <c r="BV17" s="110">
        <v>0</v>
      </c>
      <c r="BW17" s="83">
        <f t="shared" si="4"/>
        <v>0</v>
      </c>
      <c r="BX17" s="83">
        <f t="shared" si="5"/>
        <v>0</v>
      </c>
      <c r="BY17" s="83">
        <v>0</v>
      </c>
      <c r="BZ17" s="83">
        <v>0</v>
      </c>
      <c r="CA17" s="193">
        <v>0</v>
      </c>
      <c r="CB17" s="236"/>
      <c r="CC17" s="282"/>
    </row>
    <row r="18" spans="1:81" s="5" customFormat="1">
      <c r="A18" s="138" t="s">
        <v>53</v>
      </c>
      <c r="B18" s="31" t="s">
        <v>28</v>
      </c>
      <c r="C18" s="32" t="s">
        <v>28</v>
      </c>
      <c r="D18" s="32" t="s">
        <v>28</v>
      </c>
      <c r="E18" s="32" t="s">
        <v>28</v>
      </c>
      <c r="F18" s="32" t="s">
        <v>28</v>
      </c>
      <c r="G18" s="32" t="s">
        <v>28</v>
      </c>
      <c r="H18" s="250" t="s">
        <v>28</v>
      </c>
      <c r="I18" s="250" t="s">
        <v>28</v>
      </c>
      <c r="J18" s="31">
        <v>779</v>
      </c>
      <c r="K18" s="32">
        <v>775</v>
      </c>
      <c r="L18" s="32">
        <v>742</v>
      </c>
      <c r="M18" s="32">
        <v>735</v>
      </c>
      <c r="N18" s="32">
        <v>505</v>
      </c>
      <c r="O18" s="32">
        <v>505</v>
      </c>
      <c r="P18" s="250">
        <v>827</v>
      </c>
      <c r="Q18" s="257">
        <v>724</v>
      </c>
      <c r="R18" s="32">
        <v>2038</v>
      </c>
      <c r="S18" s="32">
        <v>2032</v>
      </c>
      <c r="T18" s="32">
        <v>1933</v>
      </c>
      <c r="U18" s="32">
        <v>1779</v>
      </c>
      <c r="V18" s="32">
        <v>2007</v>
      </c>
      <c r="W18" s="32">
        <v>2007</v>
      </c>
      <c r="X18" s="250">
        <v>2243</v>
      </c>
      <c r="Y18" s="250">
        <v>2496</v>
      </c>
      <c r="Z18" s="31">
        <v>19</v>
      </c>
      <c r="AA18" s="32">
        <v>29</v>
      </c>
      <c r="AB18" s="32">
        <v>161</v>
      </c>
      <c r="AC18" s="32">
        <v>322</v>
      </c>
      <c r="AD18" s="32">
        <v>428</v>
      </c>
      <c r="AE18" s="32">
        <v>428</v>
      </c>
      <c r="AF18" s="250">
        <v>564</v>
      </c>
      <c r="AG18" s="257">
        <v>564</v>
      </c>
      <c r="AH18" s="33">
        <v>2836</v>
      </c>
      <c r="AI18" s="33">
        <f t="shared" si="0"/>
        <v>2836</v>
      </c>
      <c r="AJ18" s="33">
        <f t="shared" si="1"/>
        <v>2836</v>
      </c>
      <c r="AK18" s="33">
        <f t="shared" si="2"/>
        <v>2836</v>
      </c>
      <c r="AL18" s="33">
        <f t="shared" si="3"/>
        <v>2940</v>
      </c>
      <c r="AM18" s="33">
        <v>2940</v>
      </c>
      <c r="AN18" s="266">
        <v>3634</v>
      </c>
      <c r="AO18" s="267">
        <v>3784</v>
      </c>
      <c r="AP18" s="109" t="s">
        <v>28</v>
      </c>
      <c r="AQ18" s="32" t="s">
        <v>28</v>
      </c>
      <c r="AR18" s="32" t="s">
        <v>28</v>
      </c>
      <c r="AS18" s="32" t="s">
        <v>28</v>
      </c>
      <c r="AT18" s="32" t="s">
        <v>28</v>
      </c>
      <c r="AU18" s="32" t="s">
        <v>28</v>
      </c>
      <c r="AV18" s="250" t="s">
        <v>28</v>
      </c>
      <c r="AW18" s="250" t="s">
        <v>28</v>
      </c>
      <c r="AX18" s="31">
        <v>2358</v>
      </c>
      <c r="AY18" s="32">
        <v>2358</v>
      </c>
      <c r="AZ18" s="32">
        <v>2358</v>
      </c>
      <c r="BA18" s="32">
        <v>2358</v>
      </c>
      <c r="BB18" s="32">
        <v>2691</v>
      </c>
      <c r="BC18" s="32">
        <f>0+2716</f>
        <v>2716</v>
      </c>
      <c r="BD18" s="250">
        <v>2839</v>
      </c>
      <c r="BE18" s="250">
        <v>2180</v>
      </c>
      <c r="BF18" s="31">
        <v>26</v>
      </c>
      <c r="BG18" s="32">
        <v>26</v>
      </c>
      <c r="BH18" s="32">
        <v>26</v>
      </c>
      <c r="BI18" s="32">
        <v>26</v>
      </c>
      <c r="BJ18" s="32">
        <v>123</v>
      </c>
      <c r="BK18" s="32">
        <f>0+123</f>
        <v>123</v>
      </c>
      <c r="BL18" s="250">
        <v>0</v>
      </c>
      <c r="BM18" s="250">
        <v>0</v>
      </c>
      <c r="BN18" s="31">
        <v>6</v>
      </c>
      <c r="BO18" s="32">
        <v>6</v>
      </c>
      <c r="BP18" s="32">
        <v>6</v>
      </c>
      <c r="BQ18" s="32">
        <v>6</v>
      </c>
      <c r="BR18" s="32" t="s">
        <v>28</v>
      </c>
      <c r="BS18" s="32">
        <v>0</v>
      </c>
      <c r="BT18" s="250">
        <v>0</v>
      </c>
      <c r="BU18" s="250">
        <v>0</v>
      </c>
      <c r="BV18" s="31">
        <v>2390</v>
      </c>
      <c r="BW18" s="82">
        <f t="shared" si="4"/>
        <v>2390</v>
      </c>
      <c r="BX18" s="82">
        <f t="shared" si="5"/>
        <v>2390</v>
      </c>
      <c r="BY18" s="82">
        <v>2390</v>
      </c>
      <c r="BZ18" s="82">
        <v>2814</v>
      </c>
      <c r="CA18" s="192">
        <v>2839</v>
      </c>
      <c r="CB18" s="283">
        <v>2839</v>
      </c>
      <c r="CC18" s="284">
        <v>2180</v>
      </c>
    </row>
    <row r="19" spans="1:81">
      <c r="A19" s="138" t="s">
        <v>55</v>
      </c>
      <c r="B19" s="28" t="s">
        <v>28</v>
      </c>
      <c r="C19" s="29" t="s">
        <v>28</v>
      </c>
      <c r="D19" s="29" t="s">
        <v>28</v>
      </c>
      <c r="E19" s="29" t="s">
        <v>28</v>
      </c>
      <c r="F19" s="29" t="s">
        <v>28</v>
      </c>
      <c r="G19" s="29" t="s">
        <v>28</v>
      </c>
      <c r="H19" s="249" t="s">
        <v>28</v>
      </c>
      <c r="I19" s="249" t="s">
        <v>28</v>
      </c>
      <c r="J19" s="28">
        <v>1924</v>
      </c>
      <c r="K19" s="29">
        <v>1845</v>
      </c>
      <c r="L19" s="29">
        <v>1756</v>
      </c>
      <c r="M19" s="29">
        <v>1679</v>
      </c>
      <c r="N19" s="29">
        <v>1537</v>
      </c>
      <c r="O19" s="29">
        <v>1600</v>
      </c>
      <c r="P19" s="249">
        <v>1738</v>
      </c>
      <c r="Q19" s="256">
        <v>1682</v>
      </c>
      <c r="R19" s="29">
        <v>1449</v>
      </c>
      <c r="S19" s="29">
        <v>1395</v>
      </c>
      <c r="T19" s="29">
        <v>1354</v>
      </c>
      <c r="U19" s="29">
        <v>1327</v>
      </c>
      <c r="V19" s="29">
        <v>1812</v>
      </c>
      <c r="W19" s="29">
        <v>1812</v>
      </c>
      <c r="X19" s="249">
        <v>1931</v>
      </c>
      <c r="Y19" s="249">
        <v>2221</v>
      </c>
      <c r="Z19" s="28">
        <v>269</v>
      </c>
      <c r="AA19" s="29">
        <v>402</v>
      </c>
      <c r="AB19" s="29">
        <v>532</v>
      </c>
      <c r="AC19" s="29">
        <v>636</v>
      </c>
      <c r="AD19" s="29">
        <v>756</v>
      </c>
      <c r="AE19" s="29">
        <v>756</v>
      </c>
      <c r="AF19" s="249">
        <v>798</v>
      </c>
      <c r="AG19" s="256">
        <v>798</v>
      </c>
      <c r="AH19" s="30">
        <v>3642</v>
      </c>
      <c r="AI19" s="30">
        <f t="shared" si="0"/>
        <v>3642</v>
      </c>
      <c r="AJ19" s="30">
        <f t="shared" si="1"/>
        <v>3642</v>
      </c>
      <c r="AK19" s="30">
        <f t="shared" si="2"/>
        <v>3642</v>
      </c>
      <c r="AL19" s="30">
        <v>4106</v>
      </c>
      <c r="AM19" s="30">
        <v>4168</v>
      </c>
      <c r="AN19" s="264">
        <v>4467</v>
      </c>
      <c r="AO19" s="265">
        <v>4701</v>
      </c>
      <c r="AP19" s="28">
        <v>2174</v>
      </c>
      <c r="AQ19" s="29" t="s">
        <v>28</v>
      </c>
      <c r="AR19" s="29" t="s">
        <v>28</v>
      </c>
      <c r="AS19" s="29" t="s">
        <v>28</v>
      </c>
      <c r="AT19" s="29" t="s">
        <v>28</v>
      </c>
      <c r="AU19" s="29" t="s">
        <v>28</v>
      </c>
      <c r="AV19" s="249" t="s">
        <v>28</v>
      </c>
      <c r="AW19" s="249" t="s">
        <v>28</v>
      </c>
      <c r="AX19" s="28">
        <v>1593</v>
      </c>
      <c r="AY19" s="29">
        <v>3850</v>
      </c>
      <c r="AZ19" s="29">
        <v>2532</v>
      </c>
      <c r="BA19" s="29">
        <v>1413</v>
      </c>
      <c r="BB19" s="29">
        <v>1764</v>
      </c>
      <c r="BC19" s="29">
        <f>0+1668</f>
        <v>1668</v>
      </c>
      <c r="BD19" s="249">
        <v>1548</v>
      </c>
      <c r="BE19" s="249">
        <v>1548</v>
      </c>
      <c r="BF19" s="28">
        <v>0</v>
      </c>
      <c r="BG19" s="29">
        <v>139</v>
      </c>
      <c r="BH19" s="29">
        <v>1413</v>
      </c>
      <c r="BI19" s="29">
        <v>2532</v>
      </c>
      <c r="BJ19" s="29">
        <v>3049</v>
      </c>
      <c r="BK19" s="29">
        <f>0+2771</f>
        <v>2771</v>
      </c>
      <c r="BL19" s="249">
        <v>2797</v>
      </c>
      <c r="BM19" s="249">
        <v>2834</v>
      </c>
      <c r="BN19" s="28">
        <v>0</v>
      </c>
      <c r="BO19" s="29" t="s">
        <v>28</v>
      </c>
      <c r="BP19" s="29">
        <v>44</v>
      </c>
      <c r="BQ19" s="29">
        <v>44</v>
      </c>
      <c r="BR19" s="29">
        <v>44</v>
      </c>
      <c r="BS19" s="29">
        <f>0+44</f>
        <v>44</v>
      </c>
      <c r="BT19" s="249">
        <v>44</v>
      </c>
      <c r="BU19" s="249">
        <v>44</v>
      </c>
      <c r="BV19" s="28">
        <v>3767</v>
      </c>
      <c r="BW19" s="83">
        <f t="shared" si="4"/>
        <v>3989</v>
      </c>
      <c r="BX19" s="83">
        <f t="shared" si="5"/>
        <v>3989</v>
      </c>
      <c r="BY19" s="83">
        <v>3989</v>
      </c>
      <c r="BZ19" s="83">
        <v>4857</v>
      </c>
      <c r="CA19" s="193">
        <v>4483</v>
      </c>
      <c r="CB19" s="236">
        <v>4389</v>
      </c>
      <c r="CC19" s="282">
        <v>4426</v>
      </c>
    </row>
    <row r="20" spans="1:81" s="5" customFormat="1">
      <c r="A20" s="138" t="s">
        <v>56</v>
      </c>
      <c r="B20" s="31" t="s">
        <v>28</v>
      </c>
      <c r="C20" s="32" t="s">
        <v>28</v>
      </c>
      <c r="D20" s="32" t="s">
        <v>28</v>
      </c>
      <c r="E20" s="32" t="s">
        <v>28</v>
      </c>
      <c r="F20" s="32" t="s">
        <v>28</v>
      </c>
      <c r="G20" s="32" t="s">
        <v>28</v>
      </c>
      <c r="H20" s="250" t="s">
        <v>28</v>
      </c>
      <c r="I20" s="250" t="s">
        <v>28</v>
      </c>
      <c r="J20" s="31">
        <v>643</v>
      </c>
      <c r="K20" s="32">
        <v>593</v>
      </c>
      <c r="L20" s="32">
        <v>425</v>
      </c>
      <c r="M20" s="32">
        <v>368</v>
      </c>
      <c r="N20" s="32">
        <v>370</v>
      </c>
      <c r="O20" s="32">
        <v>370</v>
      </c>
      <c r="P20" s="250">
        <v>1086</v>
      </c>
      <c r="Q20" s="257">
        <v>1098</v>
      </c>
      <c r="R20" s="32">
        <v>1487</v>
      </c>
      <c r="S20" s="32">
        <v>1537</v>
      </c>
      <c r="T20" s="32">
        <v>1643</v>
      </c>
      <c r="U20" s="32">
        <v>1657</v>
      </c>
      <c r="V20" s="32">
        <v>1758</v>
      </c>
      <c r="W20" s="32">
        <v>1759</v>
      </c>
      <c r="X20" s="250">
        <v>1783</v>
      </c>
      <c r="Y20" s="250">
        <v>1746</v>
      </c>
      <c r="Z20" s="31">
        <v>54</v>
      </c>
      <c r="AA20" s="32">
        <v>54</v>
      </c>
      <c r="AB20" s="32">
        <v>116</v>
      </c>
      <c r="AC20" s="32">
        <v>159</v>
      </c>
      <c r="AD20" s="32">
        <v>160</v>
      </c>
      <c r="AE20" s="32">
        <v>160</v>
      </c>
      <c r="AF20" s="250">
        <v>162</v>
      </c>
      <c r="AG20" s="257">
        <v>235</v>
      </c>
      <c r="AH20" s="33">
        <v>2184</v>
      </c>
      <c r="AI20" s="33">
        <f t="shared" si="0"/>
        <v>2184</v>
      </c>
      <c r="AJ20" s="33">
        <f t="shared" si="1"/>
        <v>2184</v>
      </c>
      <c r="AK20" s="33">
        <f t="shared" si="2"/>
        <v>2184</v>
      </c>
      <c r="AL20" s="33">
        <v>2289</v>
      </c>
      <c r="AM20" s="33">
        <v>2289</v>
      </c>
      <c r="AN20" s="266">
        <v>3031</v>
      </c>
      <c r="AO20" s="267">
        <v>3079</v>
      </c>
      <c r="AP20" s="31">
        <v>660</v>
      </c>
      <c r="AQ20" s="32">
        <v>1079</v>
      </c>
      <c r="AR20" s="32">
        <v>2322</v>
      </c>
      <c r="AS20" s="32">
        <v>2094</v>
      </c>
      <c r="AT20" s="32" t="s">
        <v>28</v>
      </c>
      <c r="AU20" s="32" t="s">
        <v>28</v>
      </c>
      <c r="AV20" s="250" t="s">
        <v>28</v>
      </c>
      <c r="AW20" s="250" t="s">
        <v>28</v>
      </c>
      <c r="AX20" s="31">
        <v>1692</v>
      </c>
      <c r="AY20" s="32">
        <v>1037</v>
      </c>
      <c r="AZ20" s="32">
        <v>1091</v>
      </c>
      <c r="BA20" s="32">
        <v>1296</v>
      </c>
      <c r="BB20" s="32">
        <v>2779</v>
      </c>
      <c r="BC20" s="32">
        <f>310+2325</f>
        <v>2635</v>
      </c>
      <c r="BD20" s="250">
        <v>2675</v>
      </c>
      <c r="BE20" s="250">
        <v>2302</v>
      </c>
      <c r="BF20" s="31">
        <v>763</v>
      </c>
      <c r="BG20" s="32">
        <v>1053</v>
      </c>
      <c r="BH20" s="32">
        <v>1555</v>
      </c>
      <c r="BI20" s="32">
        <v>1562</v>
      </c>
      <c r="BJ20" s="32">
        <v>2225</v>
      </c>
      <c r="BK20" s="32">
        <f>35+2224</f>
        <v>2259</v>
      </c>
      <c r="BL20" s="250">
        <v>2148</v>
      </c>
      <c r="BM20" s="250">
        <v>1852</v>
      </c>
      <c r="BN20" s="31">
        <v>25</v>
      </c>
      <c r="BO20" s="32">
        <v>5</v>
      </c>
      <c r="BP20" s="32">
        <v>6</v>
      </c>
      <c r="BQ20" s="32">
        <v>22</v>
      </c>
      <c r="BR20" s="32">
        <v>8</v>
      </c>
      <c r="BS20" s="32">
        <f>0+124</f>
        <v>124</v>
      </c>
      <c r="BT20" s="250">
        <v>124</v>
      </c>
      <c r="BU20" s="250">
        <v>87</v>
      </c>
      <c r="BV20" s="31">
        <v>3380</v>
      </c>
      <c r="BW20" s="82">
        <f t="shared" si="4"/>
        <v>3174</v>
      </c>
      <c r="BX20" s="82">
        <f t="shared" si="5"/>
        <v>4974</v>
      </c>
      <c r="BY20" s="82">
        <v>4974</v>
      </c>
      <c r="BZ20" s="82">
        <v>5011</v>
      </c>
      <c r="CA20" s="192">
        <v>5018</v>
      </c>
      <c r="CB20" s="283">
        <v>4947</v>
      </c>
      <c r="CC20" s="284">
        <v>4241</v>
      </c>
    </row>
    <row r="21" spans="1:81">
      <c r="A21" s="138" t="s">
        <v>80</v>
      </c>
      <c r="B21" s="28" t="s">
        <v>28</v>
      </c>
      <c r="C21" s="29" t="s">
        <v>28</v>
      </c>
      <c r="D21" s="29" t="s">
        <v>28</v>
      </c>
      <c r="E21" s="29" t="s">
        <v>28</v>
      </c>
      <c r="F21" s="29" t="s">
        <v>28</v>
      </c>
      <c r="G21" s="29" t="s">
        <v>28</v>
      </c>
      <c r="H21" s="249" t="s">
        <v>28</v>
      </c>
      <c r="I21" s="249" t="s">
        <v>28</v>
      </c>
      <c r="J21" s="28">
        <v>118</v>
      </c>
      <c r="K21" s="29">
        <v>118</v>
      </c>
      <c r="L21" s="29">
        <v>118</v>
      </c>
      <c r="M21" s="29">
        <v>118</v>
      </c>
      <c r="N21" s="29">
        <v>42</v>
      </c>
      <c r="O21" s="29">
        <v>42</v>
      </c>
      <c r="P21" s="249">
        <v>47</v>
      </c>
      <c r="Q21" s="256">
        <v>40</v>
      </c>
      <c r="R21" s="29">
        <v>125</v>
      </c>
      <c r="S21" s="29">
        <v>125</v>
      </c>
      <c r="T21" s="29">
        <v>125</v>
      </c>
      <c r="U21" s="29">
        <v>125</v>
      </c>
      <c r="V21" s="29">
        <v>201</v>
      </c>
      <c r="W21" s="29">
        <v>201</v>
      </c>
      <c r="X21" s="249">
        <v>182</v>
      </c>
      <c r="Y21" s="249">
        <v>182</v>
      </c>
      <c r="Z21" s="28">
        <v>26</v>
      </c>
      <c r="AA21" s="29">
        <v>26</v>
      </c>
      <c r="AB21" s="29">
        <v>26</v>
      </c>
      <c r="AC21" s="29">
        <v>26</v>
      </c>
      <c r="AD21" s="29">
        <v>26</v>
      </c>
      <c r="AE21" s="29">
        <v>26</v>
      </c>
      <c r="AF21" s="249">
        <v>40</v>
      </c>
      <c r="AG21" s="256">
        <v>40</v>
      </c>
      <c r="AH21" s="30">
        <v>269</v>
      </c>
      <c r="AI21" s="30">
        <f t="shared" si="0"/>
        <v>269</v>
      </c>
      <c r="AJ21" s="30">
        <f t="shared" si="1"/>
        <v>269</v>
      </c>
      <c r="AK21" s="30">
        <f t="shared" si="2"/>
        <v>269</v>
      </c>
      <c r="AL21" s="30">
        <f t="shared" si="3"/>
        <v>269</v>
      </c>
      <c r="AM21" s="30">
        <v>269</v>
      </c>
      <c r="AN21" s="264">
        <v>269</v>
      </c>
      <c r="AO21" s="265">
        <v>262</v>
      </c>
      <c r="AP21" s="110" t="s">
        <v>28</v>
      </c>
      <c r="AQ21" s="29" t="s">
        <v>28</v>
      </c>
      <c r="AR21" s="29" t="s">
        <v>28</v>
      </c>
      <c r="AS21" s="29" t="s">
        <v>28</v>
      </c>
      <c r="AT21" s="29" t="s">
        <v>28</v>
      </c>
      <c r="AU21" s="29" t="s">
        <v>28</v>
      </c>
      <c r="AV21" s="249" t="s">
        <v>28</v>
      </c>
      <c r="AW21" s="249" t="s">
        <v>28</v>
      </c>
      <c r="AX21" s="28">
        <v>171</v>
      </c>
      <c r="AY21" s="29">
        <v>171</v>
      </c>
      <c r="AZ21" s="29">
        <v>171</v>
      </c>
      <c r="BA21" s="29">
        <v>171</v>
      </c>
      <c r="BB21" s="29">
        <v>171</v>
      </c>
      <c r="BC21" s="29">
        <f>0+171</f>
        <v>171</v>
      </c>
      <c r="BD21" s="249">
        <v>177</v>
      </c>
      <c r="BE21" s="249">
        <v>177</v>
      </c>
      <c r="BF21" s="28">
        <v>102</v>
      </c>
      <c r="BG21" s="29">
        <v>108</v>
      </c>
      <c r="BH21" s="29">
        <v>108</v>
      </c>
      <c r="BI21" s="29">
        <v>108</v>
      </c>
      <c r="BJ21" s="29">
        <v>108</v>
      </c>
      <c r="BK21" s="29">
        <f>6+102</f>
        <v>108</v>
      </c>
      <c r="BL21" s="249">
        <v>102</v>
      </c>
      <c r="BM21" s="249">
        <v>102</v>
      </c>
      <c r="BN21" s="110" t="s">
        <v>28</v>
      </c>
      <c r="BO21" s="29" t="s">
        <v>28</v>
      </c>
      <c r="BP21" s="29" t="s">
        <v>28</v>
      </c>
      <c r="BQ21" s="29" t="s">
        <v>28</v>
      </c>
      <c r="BR21" s="29" t="s">
        <v>28</v>
      </c>
      <c r="BS21" s="29">
        <f>0+0</f>
        <v>0</v>
      </c>
      <c r="BT21" s="249">
        <v>0</v>
      </c>
      <c r="BU21" s="249">
        <v>0</v>
      </c>
      <c r="BV21" s="28">
        <v>279</v>
      </c>
      <c r="BW21" s="83">
        <f t="shared" si="4"/>
        <v>279</v>
      </c>
      <c r="BX21" s="83">
        <f t="shared" si="5"/>
        <v>279</v>
      </c>
      <c r="BY21" s="83">
        <v>279</v>
      </c>
      <c r="BZ21" s="83">
        <v>279</v>
      </c>
      <c r="CA21" s="193">
        <v>279</v>
      </c>
      <c r="CB21" s="236">
        <v>279</v>
      </c>
      <c r="CC21" s="282">
        <v>279</v>
      </c>
    </row>
    <row r="22" spans="1:81" s="5" customFormat="1">
      <c r="A22" s="138" t="s">
        <v>79</v>
      </c>
      <c r="B22" s="31" t="s">
        <v>28</v>
      </c>
      <c r="C22" s="32" t="s">
        <v>28</v>
      </c>
      <c r="D22" s="32" t="s">
        <v>28</v>
      </c>
      <c r="E22" s="32" t="s">
        <v>28</v>
      </c>
      <c r="F22" s="32" t="s">
        <v>28</v>
      </c>
      <c r="G22" s="32" t="s">
        <v>28</v>
      </c>
      <c r="H22" s="250" t="s">
        <v>28</v>
      </c>
      <c r="I22" s="250" t="s">
        <v>28</v>
      </c>
      <c r="J22" s="31">
        <v>232</v>
      </c>
      <c r="K22" s="32">
        <v>171</v>
      </c>
      <c r="L22" s="32">
        <v>163</v>
      </c>
      <c r="M22" s="32">
        <v>163</v>
      </c>
      <c r="N22" s="32">
        <v>140</v>
      </c>
      <c r="O22" s="32">
        <v>357</v>
      </c>
      <c r="P22" s="250">
        <v>1580</v>
      </c>
      <c r="Q22" s="257">
        <v>1872</v>
      </c>
      <c r="R22" s="32">
        <v>1690</v>
      </c>
      <c r="S22" s="32">
        <v>1517</v>
      </c>
      <c r="T22" s="32">
        <v>1464</v>
      </c>
      <c r="U22" s="32">
        <v>1371</v>
      </c>
      <c r="V22" s="32">
        <v>2032</v>
      </c>
      <c r="W22" s="32">
        <v>1612</v>
      </c>
      <c r="X22" s="250">
        <v>996</v>
      </c>
      <c r="Y22" s="250">
        <v>937</v>
      </c>
      <c r="Z22" s="31">
        <v>1323</v>
      </c>
      <c r="AA22" s="32">
        <v>1557</v>
      </c>
      <c r="AB22" s="32">
        <v>1618</v>
      </c>
      <c r="AC22" s="32">
        <v>1711</v>
      </c>
      <c r="AD22" s="32">
        <v>1859</v>
      </c>
      <c r="AE22" s="32">
        <v>1859</v>
      </c>
      <c r="AF22" s="250">
        <v>2118</v>
      </c>
      <c r="AG22" s="257">
        <v>2162</v>
      </c>
      <c r="AH22" s="33">
        <v>3245</v>
      </c>
      <c r="AI22" s="33">
        <f t="shared" si="0"/>
        <v>3245</v>
      </c>
      <c r="AJ22" s="33">
        <f t="shared" si="1"/>
        <v>3245</v>
      </c>
      <c r="AK22" s="33">
        <f t="shared" si="2"/>
        <v>3245</v>
      </c>
      <c r="AL22" s="33">
        <f t="shared" si="3"/>
        <v>4031</v>
      </c>
      <c r="AM22" s="33">
        <v>3828</v>
      </c>
      <c r="AN22" s="266">
        <v>4694</v>
      </c>
      <c r="AO22" s="267">
        <v>4971</v>
      </c>
      <c r="AP22" s="31">
        <v>872</v>
      </c>
      <c r="AQ22" s="32">
        <v>815</v>
      </c>
      <c r="AR22" s="32">
        <v>996</v>
      </c>
      <c r="AS22" s="32">
        <v>996</v>
      </c>
      <c r="AT22" s="32">
        <v>1074</v>
      </c>
      <c r="AU22" s="32" t="s">
        <v>28</v>
      </c>
      <c r="AV22" s="250" t="s">
        <v>28</v>
      </c>
      <c r="AW22" s="250" t="s">
        <v>28</v>
      </c>
      <c r="AX22" s="31">
        <v>9662</v>
      </c>
      <c r="AY22" s="32">
        <v>9525</v>
      </c>
      <c r="AZ22" s="32">
        <v>9690</v>
      </c>
      <c r="BA22" s="32">
        <v>9690</v>
      </c>
      <c r="BB22" s="32">
        <v>8917</v>
      </c>
      <c r="BC22" s="32">
        <f>31+8268</f>
        <v>8299</v>
      </c>
      <c r="BD22" s="250">
        <v>7248</v>
      </c>
      <c r="BE22" s="250">
        <v>7248</v>
      </c>
      <c r="BF22" s="31">
        <v>6736</v>
      </c>
      <c r="BG22" s="32">
        <v>6934</v>
      </c>
      <c r="BH22" s="32">
        <v>6705</v>
      </c>
      <c r="BI22" s="32">
        <v>6705</v>
      </c>
      <c r="BJ22" s="32">
        <v>6269</v>
      </c>
      <c r="BK22" s="32">
        <f>1+8771</f>
        <v>8772</v>
      </c>
      <c r="BL22" s="250">
        <v>9266</v>
      </c>
      <c r="BM22" s="250">
        <v>9266</v>
      </c>
      <c r="BN22" s="31">
        <v>817</v>
      </c>
      <c r="BO22" s="32">
        <v>937</v>
      </c>
      <c r="BP22" s="32">
        <v>809</v>
      </c>
      <c r="BQ22" s="32">
        <v>809</v>
      </c>
      <c r="BR22" s="32">
        <v>1995</v>
      </c>
      <c r="BS22" s="32">
        <f>0+1208</f>
        <v>1208</v>
      </c>
      <c r="BT22" s="250">
        <v>1278</v>
      </c>
      <c r="BU22" s="250">
        <v>1278</v>
      </c>
      <c r="BV22" s="31">
        <v>18188</v>
      </c>
      <c r="BW22" s="82">
        <f t="shared" si="4"/>
        <v>18211</v>
      </c>
      <c r="BX22" s="82">
        <f t="shared" si="5"/>
        <v>18200</v>
      </c>
      <c r="BY22" s="82">
        <v>18200</v>
      </c>
      <c r="BZ22" s="82">
        <v>18255</v>
      </c>
      <c r="CA22" s="192">
        <v>18279</v>
      </c>
      <c r="CB22" s="283">
        <v>17792</v>
      </c>
      <c r="CC22" s="284">
        <v>17792</v>
      </c>
    </row>
    <row r="23" spans="1:81">
      <c r="A23" s="138" t="s">
        <v>30</v>
      </c>
      <c r="B23" s="28" t="s">
        <v>28</v>
      </c>
      <c r="C23" s="29" t="s">
        <v>28</v>
      </c>
      <c r="D23" s="29" t="s">
        <v>28</v>
      </c>
      <c r="E23" s="29" t="s">
        <v>28</v>
      </c>
      <c r="F23" s="29" t="s">
        <v>28</v>
      </c>
      <c r="G23" s="29" t="s">
        <v>28</v>
      </c>
      <c r="H23" s="249" t="s">
        <v>28</v>
      </c>
      <c r="I23" s="249" t="s">
        <v>28</v>
      </c>
      <c r="J23" s="28">
        <v>187</v>
      </c>
      <c r="K23" s="29">
        <v>169</v>
      </c>
      <c r="L23" s="29">
        <v>34</v>
      </c>
      <c r="M23" s="29">
        <v>13</v>
      </c>
      <c r="N23" s="29">
        <v>31</v>
      </c>
      <c r="O23" s="29">
        <v>31</v>
      </c>
      <c r="P23" s="249">
        <v>457</v>
      </c>
      <c r="Q23" s="256">
        <v>715</v>
      </c>
      <c r="R23" s="29">
        <v>900</v>
      </c>
      <c r="S23" s="29">
        <v>869</v>
      </c>
      <c r="T23" s="29">
        <v>993</v>
      </c>
      <c r="U23" s="29">
        <v>905</v>
      </c>
      <c r="V23" s="29">
        <v>826</v>
      </c>
      <c r="W23" s="29">
        <v>826</v>
      </c>
      <c r="X23" s="249">
        <v>1103</v>
      </c>
      <c r="Y23" s="249">
        <v>1027</v>
      </c>
      <c r="Z23" s="28">
        <v>425</v>
      </c>
      <c r="AA23" s="29">
        <v>474</v>
      </c>
      <c r="AB23" s="29">
        <v>491</v>
      </c>
      <c r="AC23" s="29">
        <v>600</v>
      </c>
      <c r="AD23" s="29">
        <v>776</v>
      </c>
      <c r="AE23" s="29">
        <v>776</v>
      </c>
      <c r="AF23" s="249">
        <v>490</v>
      </c>
      <c r="AG23" s="256">
        <v>565</v>
      </c>
      <c r="AH23" s="30">
        <v>1512</v>
      </c>
      <c r="AI23" s="30">
        <f t="shared" si="0"/>
        <v>1512</v>
      </c>
      <c r="AJ23" s="30">
        <f t="shared" si="1"/>
        <v>1518</v>
      </c>
      <c r="AK23" s="30">
        <f t="shared" si="2"/>
        <v>1518</v>
      </c>
      <c r="AL23" s="30">
        <f t="shared" si="3"/>
        <v>1633</v>
      </c>
      <c r="AM23" s="30">
        <v>1633</v>
      </c>
      <c r="AN23" s="264">
        <v>2050</v>
      </c>
      <c r="AO23" s="265">
        <v>2307</v>
      </c>
      <c r="AP23" s="28">
        <v>16</v>
      </c>
      <c r="AQ23" s="29">
        <v>16</v>
      </c>
      <c r="AR23" s="29" t="s">
        <v>28</v>
      </c>
      <c r="AS23" s="29">
        <v>131</v>
      </c>
      <c r="AT23" s="29">
        <v>40</v>
      </c>
      <c r="AU23" s="29" t="s">
        <v>28</v>
      </c>
      <c r="AV23" s="249" t="s">
        <v>28</v>
      </c>
      <c r="AW23" s="249" t="s">
        <v>28</v>
      </c>
      <c r="AX23" s="28">
        <v>1072</v>
      </c>
      <c r="AY23" s="29">
        <v>955</v>
      </c>
      <c r="AZ23" s="29">
        <v>694</v>
      </c>
      <c r="BA23" s="29">
        <v>513</v>
      </c>
      <c r="BB23" s="29">
        <v>805</v>
      </c>
      <c r="BC23" s="29">
        <f>0+575</f>
        <v>575</v>
      </c>
      <c r="BD23" s="249">
        <v>564</v>
      </c>
      <c r="BE23" s="249">
        <v>441</v>
      </c>
      <c r="BF23" s="28">
        <v>1243</v>
      </c>
      <c r="BG23" s="29">
        <v>1249</v>
      </c>
      <c r="BH23" s="29">
        <v>1634</v>
      </c>
      <c r="BI23" s="29">
        <v>1640</v>
      </c>
      <c r="BJ23" s="29">
        <v>1460</v>
      </c>
      <c r="BK23" s="29">
        <f>0+1590</f>
        <v>1590</v>
      </c>
      <c r="BL23" s="249">
        <v>1341</v>
      </c>
      <c r="BM23" s="249">
        <v>1575</v>
      </c>
      <c r="BN23" s="28">
        <v>192</v>
      </c>
      <c r="BO23" s="29">
        <v>303</v>
      </c>
      <c r="BP23" s="29">
        <v>193</v>
      </c>
      <c r="BQ23" s="29">
        <v>238</v>
      </c>
      <c r="BR23" s="29">
        <v>216</v>
      </c>
      <c r="BS23" s="29">
        <f>0+251</f>
        <v>251</v>
      </c>
      <c r="BT23" s="249">
        <v>193</v>
      </c>
      <c r="BU23" s="249">
        <v>112</v>
      </c>
      <c r="BV23" s="28">
        <v>2523</v>
      </c>
      <c r="BW23" s="83">
        <f t="shared" si="4"/>
        <v>2523</v>
      </c>
      <c r="BX23" s="83">
        <f t="shared" si="5"/>
        <v>2521</v>
      </c>
      <c r="BY23" s="83">
        <v>2522</v>
      </c>
      <c r="BZ23" s="83">
        <v>2521</v>
      </c>
      <c r="CA23" s="193">
        <v>2416</v>
      </c>
      <c r="CB23" s="236">
        <v>2098</v>
      </c>
      <c r="CC23" s="282">
        <v>2128</v>
      </c>
    </row>
    <row r="24" spans="1:81" s="5" customFormat="1">
      <c r="A24" s="138" t="s">
        <v>52</v>
      </c>
      <c r="B24" s="31" t="s">
        <v>28</v>
      </c>
      <c r="C24" s="32" t="s">
        <v>28</v>
      </c>
      <c r="D24" s="32" t="s">
        <v>28</v>
      </c>
      <c r="E24" s="32" t="s">
        <v>28</v>
      </c>
      <c r="F24" s="32" t="s">
        <v>28</v>
      </c>
      <c r="G24" s="32" t="s">
        <v>28</v>
      </c>
      <c r="H24" s="250" t="s">
        <v>28</v>
      </c>
      <c r="I24" s="250" t="s">
        <v>28</v>
      </c>
      <c r="J24" s="31">
        <v>841</v>
      </c>
      <c r="K24" s="32">
        <v>1038</v>
      </c>
      <c r="L24" s="32">
        <v>816</v>
      </c>
      <c r="M24" s="32">
        <v>801</v>
      </c>
      <c r="N24" s="32">
        <v>842</v>
      </c>
      <c r="O24" s="32">
        <v>842</v>
      </c>
      <c r="P24" s="250">
        <v>1284</v>
      </c>
      <c r="Q24" s="257">
        <v>1520</v>
      </c>
      <c r="R24" s="32">
        <v>367</v>
      </c>
      <c r="S24" s="32">
        <v>371</v>
      </c>
      <c r="T24" s="32">
        <v>592</v>
      </c>
      <c r="U24" s="32">
        <v>602</v>
      </c>
      <c r="V24" s="32">
        <v>646</v>
      </c>
      <c r="W24" s="32">
        <v>646</v>
      </c>
      <c r="X24" s="250">
        <v>896</v>
      </c>
      <c r="Y24" s="250">
        <v>930</v>
      </c>
      <c r="Z24" s="109" t="s">
        <v>28</v>
      </c>
      <c r="AA24" s="32" t="s">
        <v>28</v>
      </c>
      <c r="AB24" s="35">
        <v>1</v>
      </c>
      <c r="AC24" s="35">
        <v>6</v>
      </c>
      <c r="AD24" s="35">
        <v>18</v>
      </c>
      <c r="AE24" s="35">
        <v>18</v>
      </c>
      <c r="AF24" s="259">
        <v>16</v>
      </c>
      <c r="AG24" s="260">
        <v>16</v>
      </c>
      <c r="AH24" s="33">
        <v>1208</v>
      </c>
      <c r="AI24" s="33">
        <f t="shared" si="0"/>
        <v>1409</v>
      </c>
      <c r="AJ24" s="33">
        <f t="shared" si="1"/>
        <v>1409</v>
      </c>
      <c r="AK24" s="33">
        <f t="shared" si="2"/>
        <v>1409</v>
      </c>
      <c r="AL24" s="33">
        <f t="shared" si="3"/>
        <v>1506</v>
      </c>
      <c r="AM24" s="33">
        <v>1506</v>
      </c>
      <c r="AN24" s="266">
        <v>2196</v>
      </c>
      <c r="AO24" s="267">
        <v>2466</v>
      </c>
      <c r="AP24" s="109" t="s">
        <v>28</v>
      </c>
      <c r="AQ24" s="32" t="s">
        <v>28</v>
      </c>
      <c r="AR24" s="32" t="s">
        <v>28</v>
      </c>
      <c r="AS24" s="32" t="s">
        <v>28</v>
      </c>
      <c r="AT24" s="32" t="s">
        <v>28</v>
      </c>
      <c r="AU24" s="32" t="s">
        <v>28</v>
      </c>
      <c r="AV24" s="250" t="s">
        <v>28</v>
      </c>
      <c r="AW24" s="250" t="s">
        <v>28</v>
      </c>
      <c r="AX24" s="31">
        <v>960</v>
      </c>
      <c r="AY24" s="32">
        <v>1050</v>
      </c>
      <c r="AZ24" s="32">
        <v>1050</v>
      </c>
      <c r="BA24" s="32">
        <v>1050</v>
      </c>
      <c r="BB24" s="32">
        <v>1050</v>
      </c>
      <c r="BC24" s="32">
        <f>0+934</f>
        <v>934</v>
      </c>
      <c r="BD24" s="250">
        <v>934</v>
      </c>
      <c r="BE24" s="250">
        <v>896</v>
      </c>
      <c r="BF24" s="31">
        <v>634</v>
      </c>
      <c r="BG24" s="32">
        <v>576</v>
      </c>
      <c r="BH24" s="32">
        <v>576</v>
      </c>
      <c r="BI24" s="32">
        <v>576</v>
      </c>
      <c r="BJ24" s="32">
        <v>576</v>
      </c>
      <c r="BK24" s="32">
        <f>0+570</f>
        <v>570</v>
      </c>
      <c r="BL24" s="250">
        <v>570</v>
      </c>
      <c r="BM24" s="250">
        <v>570</v>
      </c>
      <c r="BN24" s="109" t="s">
        <v>28</v>
      </c>
      <c r="BO24" s="32" t="s">
        <v>28</v>
      </c>
      <c r="BP24" s="32" t="s">
        <v>28</v>
      </c>
      <c r="BQ24" s="32" t="s">
        <v>28</v>
      </c>
      <c r="BR24" s="32" t="s">
        <v>28</v>
      </c>
      <c r="BS24" s="32">
        <f>0+0</f>
        <v>0</v>
      </c>
      <c r="BT24" s="250">
        <v>0</v>
      </c>
      <c r="BU24" s="250">
        <v>0</v>
      </c>
      <c r="BV24" s="31">
        <v>1669</v>
      </c>
      <c r="BW24" s="82">
        <f t="shared" si="4"/>
        <v>1626</v>
      </c>
      <c r="BX24" s="82">
        <f t="shared" si="5"/>
        <v>1626</v>
      </c>
      <c r="BY24" s="82">
        <v>1626</v>
      </c>
      <c r="BZ24" s="82">
        <v>1626</v>
      </c>
      <c r="CA24" s="192">
        <v>1504</v>
      </c>
      <c r="CB24" s="283">
        <v>1504</v>
      </c>
      <c r="CC24" s="284">
        <v>1466</v>
      </c>
    </row>
    <row r="25" spans="1:81">
      <c r="A25" s="138" t="s">
        <v>78</v>
      </c>
      <c r="B25" s="28" t="s">
        <v>28</v>
      </c>
      <c r="C25" s="29" t="s">
        <v>28</v>
      </c>
      <c r="D25" s="29" t="s">
        <v>28</v>
      </c>
      <c r="E25" s="29" t="s">
        <v>28</v>
      </c>
      <c r="F25" s="29" t="s">
        <v>28</v>
      </c>
      <c r="G25" s="29" t="s">
        <v>28</v>
      </c>
      <c r="H25" s="249" t="s">
        <v>28</v>
      </c>
      <c r="I25" s="249" t="s">
        <v>28</v>
      </c>
      <c r="J25" s="28">
        <v>625</v>
      </c>
      <c r="K25" s="29">
        <v>586</v>
      </c>
      <c r="L25" s="29">
        <v>381</v>
      </c>
      <c r="M25" s="29">
        <v>265</v>
      </c>
      <c r="N25" s="29">
        <v>353</v>
      </c>
      <c r="O25" s="29">
        <v>803</v>
      </c>
      <c r="P25" s="249">
        <v>1614</v>
      </c>
      <c r="Q25" s="256">
        <v>1841</v>
      </c>
      <c r="R25" s="29">
        <v>602</v>
      </c>
      <c r="S25" s="29">
        <v>631</v>
      </c>
      <c r="T25" s="29">
        <v>769</v>
      </c>
      <c r="U25" s="29">
        <v>869</v>
      </c>
      <c r="V25" s="29">
        <v>779</v>
      </c>
      <c r="W25" s="29">
        <v>779</v>
      </c>
      <c r="X25" s="249">
        <v>592</v>
      </c>
      <c r="Y25" s="249">
        <v>628</v>
      </c>
      <c r="Z25" s="28">
        <v>18</v>
      </c>
      <c r="AA25" s="29">
        <v>28</v>
      </c>
      <c r="AB25" s="29">
        <v>95</v>
      </c>
      <c r="AC25" s="29">
        <v>111</v>
      </c>
      <c r="AD25" s="29">
        <v>113</v>
      </c>
      <c r="AE25" s="29">
        <v>113</v>
      </c>
      <c r="AF25" s="249">
        <v>113</v>
      </c>
      <c r="AG25" s="256">
        <v>124</v>
      </c>
      <c r="AH25" s="30">
        <v>1245</v>
      </c>
      <c r="AI25" s="30">
        <f t="shared" si="0"/>
        <v>1245</v>
      </c>
      <c r="AJ25" s="30">
        <f t="shared" si="1"/>
        <v>1245</v>
      </c>
      <c r="AK25" s="30">
        <f t="shared" si="2"/>
        <v>1245</v>
      </c>
      <c r="AL25" s="30">
        <f t="shared" si="3"/>
        <v>1245</v>
      </c>
      <c r="AM25" s="30">
        <v>1695</v>
      </c>
      <c r="AN25" s="264">
        <v>2319</v>
      </c>
      <c r="AO25" s="265">
        <v>2593</v>
      </c>
      <c r="AP25" s="28">
        <v>4</v>
      </c>
      <c r="AQ25" s="29">
        <v>13</v>
      </c>
      <c r="AR25" s="29">
        <v>13</v>
      </c>
      <c r="AS25" s="29">
        <v>13</v>
      </c>
      <c r="AT25" s="29">
        <v>13</v>
      </c>
      <c r="AU25" s="29" t="s">
        <v>28</v>
      </c>
      <c r="AV25" s="249" t="s">
        <v>28</v>
      </c>
      <c r="AW25" s="249" t="s">
        <v>28</v>
      </c>
      <c r="AX25" s="110" t="s">
        <v>28</v>
      </c>
      <c r="AY25" s="34">
        <v>5</v>
      </c>
      <c r="AZ25" s="34">
        <v>5</v>
      </c>
      <c r="BA25" s="34">
        <v>5</v>
      </c>
      <c r="BB25" s="29">
        <v>5</v>
      </c>
      <c r="BC25" s="34" t="s">
        <v>28</v>
      </c>
      <c r="BD25" s="261">
        <v>93</v>
      </c>
      <c r="BE25" s="261">
        <v>93</v>
      </c>
      <c r="BF25" s="110" t="s">
        <v>28</v>
      </c>
      <c r="BG25" s="29" t="s">
        <v>28</v>
      </c>
      <c r="BH25" s="29" t="s">
        <v>28</v>
      </c>
      <c r="BI25" s="29" t="s">
        <v>28</v>
      </c>
      <c r="BJ25" s="29" t="s">
        <v>28</v>
      </c>
      <c r="BK25" s="34" t="s">
        <v>28</v>
      </c>
      <c r="BL25" s="261">
        <v>24</v>
      </c>
      <c r="BM25" s="261">
        <v>24</v>
      </c>
      <c r="BN25" s="110" t="s">
        <v>28</v>
      </c>
      <c r="BO25" s="29" t="s">
        <v>28</v>
      </c>
      <c r="BP25" s="29" t="s">
        <v>28</v>
      </c>
      <c r="BQ25" s="29" t="s">
        <v>28</v>
      </c>
      <c r="BR25" s="29" t="s">
        <v>28</v>
      </c>
      <c r="BS25" s="34" t="s">
        <v>28</v>
      </c>
      <c r="BT25" s="261">
        <v>14</v>
      </c>
      <c r="BU25" s="261">
        <v>14</v>
      </c>
      <c r="BV25" s="28">
        <v>18</v>
      </c>
      <c r="BW25" s="83">
        <f t="shared" si="4"/>
        <v>18</v>
      </c>
      <c r="BX25" s="83">
        <f t="shared" si="5"/>
        <v>18</v>
      </c>
      <c r="BY25" s="83">
        <v>18</v>
      </c>
      <c r="BZ25" s="83">
        <v>18</v>
      </c>
      <c r="CA25" s="194" t="s">
        <v>28</v>
      </c>
      <c r="CB25" s="236">
        <v>131</v>
      </c>
      <c r="CC25" s="282">
        <v>131</v>
      </c>
    </row>
    <row r="26" spans="1:81" s="5" customFormat="1">
      <c r="A26" s="138" t="s">
        <v>77</v>
      </c>
      <c r="B26" s="31"/>
      <c r="C26" s="32"/>
      <c r="D26" s="32"/>
      <c r="E26" s="32"/>
      <c r="F26" s="32" t="s">
        <v>28</v>
      </c>
      <c r="G26" s="32" t="s">
        <v>28</v>
      </c>
      <c r="H26" s="250" t="s">
        <v>28</v>
      </c>
      <c r="I26" s="250" t="s">
        <v>28</v>
      </c>
      <c r="J26" s="31">
        <v>706</v>
      </c>
      <c r="K26" s="32">
        <v>688</v>
      </c>
      <c r="L26" s="32">
        <v>606</v>
      </c>
      <c r="M26" s="32">
        <v>527</v>
      </c>
      <c r="N26" s="32">
        <v>792</v>
      </c>
      <c r="O26" s="32">
        <v>996</v>
      </c>
      <c r="P26" s="250">
        <v>800</v>
      </c>
      <c r="Q26" s="257">
        <v>384</v>
      </c>
      <c r="R26" s="32">
        <v>914</v>
      </c>
      <c r="S26" s="32">
        <v>929</v>
      </c>
      <c r="T26" s="32">
        <v>1008</v>
      </c>
      <c r="U26" s="32">
        <v>1068</v>
      </c>
      <c r="V26" s="32">
        <v>1133</v>
      </c>
      <c r="W26" s="32">
        <v>1133</v>
      </c>
      <c r="X26" s="250">
        <v>1893</v>
      </c>
      <c r="Y26" s="250">
        <v>1973</v>
      </c>
      <c r="Z26" s="31">
        <v>185</v>
      </c>
      <c r="AA26" s="32">
        <v>188</v>
      </c>
      <c r="AB26" s="32">
        <v>191</v>
      </c>
      <c r="AC26" s="32">
        <v>210</v>
      </c>
      <c r="AD26" s="32">
        <v>245</v>
      </c>
      <c r="AE26" s="32">
        <v>245</v>
      </c>
      <c r="AF26" s="250">
        <v>275</v>
      </c>
      <c r="AG26" s="257">
        <v>275</v>
      </c>
      <c r="AH26" s="33">
        <v>1805</v>
      </c>
      <c r="AI26" s="33">
        <f t="shared" si="0"/>
        <v>1805</v>
      </c>
      <c r="AJ26" s="33">
        <f t="shared" si="1"/>
        <v>1805</v>
      </c>
      <c r="AK26" s="33">
        <f t="shared" si="2"/>
        <v>1805</v>
      </c>
      <c r="AL26" s="33">
        <f t="shared" si="3"/>
        <v>2170</v>
      </c>
      <c r="AM26" s="33">
        <v>2374</v>
      </c>
      <c r="AN26" s="266">
        <v>2968</v>
      </c>
      <c r="AO26" s="267">
        <v>2632</v>
      </c>
      <c r="AP26" s="109" t="s">
        <v>28</v>
      </c>
      <c r="AQ26" s="32" t="s">
        <v>28</v>
      </c>
      <c r="AR26" s="32" t="s">
        <v>28</v>
      </c>
      <c r="AS26" s="32" t="s">
        <v>28</v>
      </c>
      <c r="AT26" s="32" t="s">
        <v>28</v>
      </c>
      <c r="AU26" s="32" t="s">
        <v>28</v>
      </c>
      <c r="AV26" s="250" t="s">
        <v>28</v>
      </c>
      <c r="AW26" s="250" t="s">
        <v>28</v>
      </c>
      <c r="AX26" s="31">
        <v>713</v>
      </c>
      <c r="AY26" s="32">
        <v>713</v>
      </c>
      <c r="AZ26" s="32">
        <v>713</v>
      </c>
      <c r="BA26" s="32">
        <v>713</v>
      </c>
      <c r="BB26" s="32">
        <v>348</v>
      </c>
      <c r="BC26" s="32">
        <f>0+525</f>
        <v>525</v>
      </c>
      <c r="BD26" s="250">
        <v>653</v>
      </c>
      <c r="BE26" s="250">
        <v>583</v>
      </c>
      <c r="BF26" s="31">
        <v>1158</v>
      </c>
      <c r="BG26" s="32">
        <v>1158</v>
      </c>
      <c r="BH26" s="32">
        <v>1158</v>
      </c>
      <c r="BI26" s="32">
        <v>1159</v>
      </c>
      <c r="BJ26" s="32">
        <v>1418</v>
      </c>
      <c r="BK26" s="32">
        <f>5+1362</f>
        <v>1367</v>
      </c>
      <c r="BL26" s="250">
        <v>943</v>
      </c>
      <c r="BM26" s="250">
        <v>775</v>
      </c>
      <c r="BN26" s="31">
        <v>15</v>
      </c>
      <c r="BO26" s="32">
        <v>15</v>
      </c>
      <c r="BP26" s="32">
        <v>15</v>
      </c>
      <c r="BQ26" s="32">
        <v>15</v>
      </c>
      <c r="BR26" s="32">
        <v>120</v>
      </c>
      <c r="BS26" s="32">
        <f>0+56</f>
        <v>56</v>
      </c>
      <c r="BT26" s="250">
        <v>0</v>
      </c>
      <c r="BU26" s="250">
        <v>0</v>
      </c>
      <c r="BV26" s="31">
        <v>1886</v>
      </c>
      <c r="BW26" s="82">
        <f t="shared" si="4"/>
        <v>1886</v>
      </c>
      <c r="BX26" s="82">
        <f t="shared" si="5"/>
        <v>1886</v>
      </c>
      <c r="BY26" s="82">
        <v>1887</v>
      </c>
      <c r="BZ26" s="82">
        <v>1886</v>
      </c>
      <c r="CA26" s="192">
        <v>1948</v>
      </c>
      <c r="CB26" s="283">
        <v>1596</v>
      </c>
      <c r="CC26" s="284">
        <v>1358</v>
      </c>
    </row>
    <row r="27" spans="1:81">
      <c r="A27" s="138" t="s">
        <v>48</v>
      </c>
      <c r="B27" s="28" t="s">
        <v>28</v>
      </c>
      <c r="C27" s="29" t="s">
        <v>28</v>
      </c>
      <c r="D27" s="29" t="s">
        <v>28</v>
      </c>
      <c r="E27" s="29" t="s">
        <v>28</v>
      </c>
      <c r="F27" s="29" t="s">
        <v>28</v>
      </c>
      <c r="G27" s="29" t="s">
        <v>28</v>
      </c>
      <c r="H27" s="249" t="s">
        <v>28</v>
      </c>
      <c r="I27" s="249" t="s">
        <v>28</v>
      </c>
      <c r="J27" s="28">
        <v>603</v>
      </c>
      <c r="K27" s="29">
        <v>947</v>
      </c>
      <c r="L27" s="29">
        <v>875</v>
      </c>
      <c r="M27" s="29">
        <v>809</v>
      </c>
      <c r="N27" s="29">
        <v>820</v>
      </c>
      <c r="O27" s="29">
        <v>1066</v>
      </c>
      <c r="P27" s="249">
        <v>2118</v>
      </c>
      <c r="Q27" s="256">
        <v>2315</v>
      </c>
      <c r="R27" s="29">
        <v>2609</v>
      </c>
      <c r="S27" s="29">
        <v>2689</v>
      </c>
      <c r="T27" s="29">
        <v>2568</v>
      </c>
      <c r="U27" s="29">
        <v>2508</v>
      </c>
      <c r="V27" s="29">
        <v>2316</v>
      </c>
      <c r="W27" s="29">
        <v>2316</v>
      </c>
      <c r="X27" s="249">
        <v>3181</v>
      </c>
      <c r="Y27" s="249">
        <v>2751</v>
      </c>
      <c r="Z27" s="28">
        <v>631</v>
      </c>
      <c r="AA27" s="29">
        <v>760</v>
      </c>
      <c r="AB27" s="29">
        <v>953</v>
      </c>
      <c r="AC27" s="29">
        <v>1079</v>
      </c>
      <c r="AD27" s="29">
        <v>1260</v>
      </c>
      <c r="AE27" s="29">
        <v>1260</v>
      </c>
      <c r="AF27" s="249">
        <v>879</v>
      </c>
      <c r="AG27" s="256">
        <v>1366</v>
      </c>
      <c r="AH27" s="30">
        <v>3843</v>
      </c>
      <c r="AI27" s="30">
        <f t="shared" si="0"/>
        <v>4396</v>
      </c>
      <c r="AJ27" s="30">
        <f t="shared" si="1"/>
        <v>4396</v>
      </c>
      <c r="AK27" s="30">
        <f t="shared" si="2"/>
        <v>4396</v>
      </c>
      <c r="AL27" s="30">
        <f t="shared" si="3"/>
        <v>4396</v>
      </c>
      <c r="AM27" s="30">
        <v>4642</v>
      </c>
      <c r="AN27" s="264">
        <v>6177</v>
      </c>
      <c r="AO27" s="265">
        <v>6432</v>
      </c>
      <c r="AP27" s="110" t="s">
        <v>28</v>
      </c>
      <c r="AQ27" s="29" t="s">
        <v>28</v>
      </c>
      <c r="AR27" s="29" t="s">
        <v>28</v>
      </c>
      <c r="AS27" s="29" t="s">
        <v>28</v>
      </c>
      <c r="AT27" s="29" t="s">
        <v>28</v>
      </c>
      <c r="AU27" s="29" t="s">
        <v>28</v>
      </c>
      <c r="AV27" s="249" t="s">
        <v>28</v>
      </c>
      <c r="AW27" s="249" t="s">
        <v>28</v>
      </c>
      <c r="AX27" s="28">
        <v>17897</v>
      </c>
      <c r="AY27" s="29">
        <v>18238</v>
      </c>
      <c r="AZ27" s="29">
        <v>17214</v>
      </c>
      <c r="BA27" s="29">
        <v>17567</v>
      </c>
      <c r="BB27" s="29">
        <v>17250</v>
      </c>
      <c r="BC27" s="29">
        <f>136+16822</f>
        <v>16958</v>
      </c>
      <c r="BD27" s="249">
        <v>16627</v>
      </c>
      <c r="BE27" s="249">
        <v>16163</v>
      </c>
      <c r="BF27" s="28">
        <v>2516</v>
      </c>
      <c r="BG27" s="29">
        <v>2441</v>
      </c>
      <c r="BH27" s="29">
        <v>3011</v>
      </c>
      <c r="BI27" s="29">
        <v>2965</v>
      </c>
      <c r="BJ27" s="29">
        <v>3248</v>
      </c>
      <c r="BK27" s="29">
        <f>0+3500</f>
        <v>3500</v>
      </c>
      <c r="BL27" s="249">
        <v>3838</v>
      </c>
      <c r="BM27" s="249">
        <v>3369</v>
      </c>
      <c r="BN27" s="28">
        <v>24</v>
      </c>
      <c r="BO27" s="29">
        <v>163</v>
      </c>
      <c r="BP27" s="29">
        <v>240</v>
      </c>
      <c r="BQ27" s="29">
        <v>186</v>
      </c>
      <c r="BR27" s="29">
        <v>214</v>
      </c>
      <c r="BS27" s="29">
        <f>0+230</f>
        <v>230</v>
      </c>
      <c r="BT27" s="249">
        <v>272</v>
      </c>
      <c r="BU27" s="249">
        <v>165</v>
      </c>
      <c r="BV27" s="28">
        <v>20663</v>
      </c>
      <c r="BW27" s="83">
        <f t="shared" si="4"/>
        <v>20842</v>
      </c>
      <c r="BX27" s="83">
        <f t="shared" si="5"/>
        <v>20465</v>
      </c>
      <c r="BY27" s="83">
        <v>20718</v>
      </c>
      <c r="BZ27" s="83">
        <v>20713</v>
      </c>
      <c r="CA27" s="193">
        <v>20688</v>
      </c>
      <c r="CB27" s="236">
        <v>20737</v>
      </c>
      <c r="CC27" s="282">
        <v>19697</v>
      </c>
    </row>
    <row r="28" spans="1:81" s="5" customFormat="1">
      <c r="A28" s="138" t="s">
        <v>49</v>
      </c>
      <c r="B28" s="31" t="s">
        <v>28</v>
      </c>
      <c r="C28" s="32" t="s">
        <v>28</v>
      </c>
      <c r="D28" s="32" t="s">
        <v>28</v>
      </c>
      <c r="E28" s="32" t="s">
        <v>28</v>
      </c>
      <c r="F28" s="32" t="s">
        <v>28</v>
      </c>
      <c r="G28" s="32" t="s">
        <v>28</v>
      </c>
      <c r="H28" s="250" t="s">
        <v>28</v>
      </c>
      <c r="I28" s="250" t="s">
        <v>28</v>
      </c>
      <c r="J28" s="31">
        <v>268</v>
      </c>
      <c r="K28" s="32">
        <v>267</v>
      </c>
      <c r="L28" s="32">
        <v>266</v>
      </c>
      <c r="M28" s="32">
        <v>266</v>
      </c>
      <c r="N28" s="32">
        <v>298</v>
      </c>
      <c r="O28" s="32">
        <v>298</v>
      </c>
      <c r="P28" s="250">
        <v>306</v>
      </c>
      <c r="Q28" s="257">
        <v>417</v>
      </c>
      <c r="R28" s="32">
        <v>1135</v>
      </c>
      <c r="S28" s="32">
        <v>1110</v>
      </c>
      <c r="T28" s="32">
        <v>1091</v>
      </c>
      <c r="U28" s="32">
        <v>1071</v>
      </c>
      <c r="V28" s="32">
        <v>1039</v>
      </c>
      <c r="W28" s="32">
        <v>1039</v>
      </c>
      <c r="X28" s="250">
        <v>1300</v>
      </c>
      <c r="Y28" s="250">
        <v>1300</v>
      </c>
      <c r="Z28" s="31">
        <v>54</v>
      </c>
      <c r="AA28" s="32">
        <v>80</v>
      </c>
      <c r="AB28" s="32">
        <v>100</v>
      </c>
      <c r="AC28" s="32">
        <v>120</v>
      </c>
      <c r="AD28" s="32">
        <v>120</v>
      </c>
      <c r="AE28" s="32">
        <v>120</v>
      </c>
      <c r="AF28" s="250">
        <v>94</v>
      </c>
      <c r="AG28" s="257">
        <v>94</v>
      </c>
      <c r="AH28" s="33">
        <v>1457</v>
      </c>
      <c r="AI28" s="33">
        <f t="shared" si="0"/>
        <v>1457</v>
      </c>
      <c r="AJ28" s="33">
        <f t="shared" si="1"/>
        <v>1457</v>
      </c>
      <c r="AK28" s="33">
        <f t="shared" si="2"/>
        <v>1457</v>
      </c>
      <c r="AL28" s="33">
        <f t="shared" si="3"/>
        <v>1457</v>
      </c>
      <c r="AM28" s="33">
        <v>1457</v>
      </c>
      <c r="AN28" s="266">
        <v>1700</v>
      </c>
      <c r="AO28" s="267">
        <v>1811</v>
      </c>
      <c r="AP28" s="109" t="s">
        <v>28</v>
      </c>
      <c r="AQ28" s="32" t="s">
        <v>28</v>
      </c>
      <c r="AR28" s="32" t="s">
        <v>28</v>
      </c>
      <c r="AS28" s="32" t="s">
        <v>28</v>
      </c>
      <c r="AT28" s="32" t="s">
        <v>28</v>
      </c>
      <c r="AU28" s="32" t="s">
        <v>28</v>
      </c>
      <c r="AV28" s="250" t="s">
        <v>28</v>
      </c>
      <c r="AW28" s="250" t="s">
        <v>28</v>
      </c>
      <c r="AX28" s="31">
        <v>4134</v>
      </c>
      <c r="AY28" s="32">
        <v>2119</v>
      </c>
      <c r="AZ28" s="32">
        <v>2119</v>
      </c>
      <c r="BA28" s="32">
        <v>2119</v>
      </c>
      <c r="BB28" s="32">
        <v>2119</v>
      </c>
      <c r="BC28" s="32">
        <f>0+2038</f>
        <v>2038</v>
      </c>
      <c r="BD28" s="250">
        <v>2038</v>
      </c>
      <c r="BE28" s="250">
        <v>2038</v>
      </c>
      <c r="BF28" s="109" t="s">
        <v>28</v>
      </c>
      <c r="BG28" s="35">
        <v>2222</v>
      </c>
      <c r="BH28" s="35">
        <v>2222</v>
      </c>
      <c r="BI28" s="35">
        <v>2222</v>
      </c>
      <c r="BJ28" s="35">
        <v>2222</v>
      </c>
      <c r="BK28" s="35">
        <f>0+2222</f>
        <v>2222</v>
      </c>
      <c r="BL28" s="259">
        <v>2222</v>
      </c>
      <c r="BM28" s="259">
        <v>2222</v>
      </c>
      <c r="BN28" s="109" t="s">
        <v>28</v>
      </c>
      <c r="BO28" s="32" t="s">
        <v>28</v>
      </c>
      <c r="BP28" s="32" t="s">
        <v>28</v>
      </c>
      <c r="BQ28" s="32" t="s">
        <v>28</v>
      </c>
      <c r="BR28" s="32" t="s">
        <v>28</v>
      </c>
      <c r="BS28" s="32">
        <f>0+81</f>
        <v>81</v>
      </c>
      <c r="BT28" s="250">
        <v>81</v>
      </c>
      <c r="BU28" s="250">
        <v>81</v>
      </c>
      <c r="BV28" s="31">
        <v>4137</v>
      </c>
      <c r="BW28" s="82">
        <f t="shared" si="4"/>
        <v>4341</v>
      </c>
      <c r="BX28" s="82">
        <f t="shared" si="5"/>
        <v>4341</v>
      </c>
      <c r="BY28" s="82">
        <v>4341</v>
      </c>
      <c r="BZ28" s="82">
        <v>4341</v>
      </c>
      <c r="CA28" s="192">
        <v>4341</v>
      </c>
      <c r="CB28" s="283">
        <v>4341</v>
      </c>
      <c r="CC28" s="284">
        <v>4341</v>
      </c>
    </row>
    <row r="29" spans="1:81">
      <c r="A29" s="138" t="s">
        <v>50</v>
      </c>
      <c r="B29" s="28" t="s">
        <v>28</v>
      </c>
      <c r="C29" s="29" t="s">
        <v>28</v>
      </c>
      <c r="D29" s="29" t="s">
        <v>28</v>
      </c>
      <c r="E29" s="29" t="s">
        <v>28</v>
      </c>
      <c r="F29" s="29" t="s">
        <v>28</v>
      </c>
      <c r="G29" s="29" t="s">
        <v>28</v>
      </c>
      <c r="H29" s="249" t="s">
        <v>28</v>
      </c>
      <c r="I29" s="249" t="s">
        <v>28</v>
      </c>
      <c r="J29" s="28">
        <v>1389</v>
      </c>
      <c r="K29" s="29">
        <v>1316</v>
      </c>
      <c r="L29" s="29">
        <v>1629</v>
      </c>
      <c r="M29" s="29">
        <v>1552</v>
      </c>
      <c r="N29" s="29">
        <v>1126</v>
      </c>
      <c r="O29" s="29">
        <v>1178</v>
      </c>
      <c r="P29" s="249">
        <v>788</v>
      </c>
      <c r="Q29" s="256">
        <v>788</v>
      </c>
      <c r="R29" s="29">
        <v>3033</v>
      </c>
      <c r="S29" s="29">
        <v>2905</v>
      </c>
      <c r="T29" s="29">
        <v>2724</v>
      </c>
      <c r="U29" s="29">
        <v>2672</v>
      </c>
      <c r="V29" s="29">
        <v>2986</v>
      </c>
      <c r="W29" s="29">
        <v>2986</v>
      </c>
      <c r="X29" s="249">
        <v>3371</v>
      </c>
      <c r="Y29" s="249">
        <v>3307</v>
      </c>
      <c r="Z29" s="28">
        <v>248</v>
      </c>
      <c r="AA29" s="29">
        <v>449</v>
      </c>
      <c r="AB29" s="29">
        <v>674</v>
      </c>
      <c r="AC29" s="29">
        <v>803</v>
      </c>
      <c r="AD29" s="29">
        <v>952</v>
      </c>
      <c r="AE29" s="29">
        <v>952</v>
      </c>
      <c r="AF29" s="249">
        <v>957</v>
      </c>
      <c r="AG29" s="256">
        <v>1089</v>
      </c>
      <c r="AH29" s="30">
        <v>4670</v>
      </c>
      <c r="AI29" s="30">
        <f t="shared" si="0"/>
        <v>4670</v>
      </c>
      <c r="AJ29" s="30">
        <f t="shared" si="1"/>
        <v>5027</v>
      </c>
      <c r="AK29" s="30">
        <f t="shared" si="2"/>
        <v>5027</v>
      </c>
      <c r="AL29" s="30">
        <f t="shared" si="3"/>
        <v>5064</v>
      </c>
      <c r="AM29" s="30">
        <v>5116</v>
      </c>
      <c r="AN29" s="264">
        <v>5116</v>
      </c>
      <c r="AO29" s="265">
        <v>5184</v>
      </c>
      <c r="AP29" s="28">
        <v>1624</v>
      </c>
      <c r="AQ29" s="29">
        <v>4109</v>
      </c>
      <c r="AR29" s="29" t="s">
        <v>28</v>
      </c>
      <c r="AS29" s="29" t="s">
        <v>28</v>
      </c>
      <c r="AT29" s="29" t="s">
        <v>28</v>
      </c>
      <c r="AU29" s="29" t="s">
        <v>28</v>
      </c>
      <c r="AV29" s="249" t="s">
        <v>28</v>
      </c>
      <c r="AW29" s="249" t="s">
        <v>28</v>
      </c>
      <c r="AX29" s="28">
        <v>4817</v>
      </c>
      <c r="AY29" s="29">
        <v>4689</v>
      </c>
      <c r="AZ29" s="29">
        <v>9183</v>
      </c>
      <c r="BA29" s="29">
        <v>9183</v>
      </c>
      <c r="BB29" s="29">
        <v>9183</v>
      </c>
      <c r="BC29" s="29">
        <f>0+9413</f>
        <v>9413</v>
      </c>
      <c r="BD29" s="249">
        <v>9413</v>
      </c>
      <c r="BE29" s="249">
        <v>9413</v>
      </c>
      <c r="BF29" s="28">
        <v>2232</v>
      </c>
      <c r="BG29" s="29">
        <v>1257</v>
      </c>
      <c r="BH29" s="29">
        <v>1046</v>
      </c>
      <c r="BI29" s="29">
        <v>1046</v>
      </c>
      <c r="BJ29" s="29">
        <v>1318</v>
      </c>
      <c r="BK29" s="29">
        <f>0+1521</f>
        <v>1521</v>
      </c>
      <c r="BL29" s="249">
        <v>1521</v>
      </c>
      <c r="BM29" s="249">
        <v>1521</v>
      </c>
      <c r="BN29" s="28">
        <v>56</v>
      </c>
      <c r="BO29" s="29">
        <v>60</v>
      </c>
      <c r="BP29" s="29" t="s">
        <v>28</v>
      </c>
      <c r="BQ29" s="29" t="s">
        <v>28</v>
      </c>
      <c r="BR29" s="29" t="s">
        <v>28</v>
      </c>
      <c r="BS29" s="29">
        <v>0</v>
      </c>
      <c r="BT29" s="249">
        <v>0</v>
      </c>
      <c r="BU29" s="249">
        <v>0</v>
      </c>
      <c r="BV29" s="28">
        <v>8729</v>
      </c>
      <c r="BW29" s="83">
        <f t="shared" si="4"/>
        <v>10115</v>
      </c>
      <c r="BX29" s="83">
        <f t="shared" si="5"/>
        <v>10229</v>
      </c>
      <c r="BY29" s="83">
        <v>10229</v>
      </c>
      <c r="BZ29" s="83">
        <v>10501</v>
      </c>
      <c r="CA29" s="193">
        <v>10934</v>
      </c>
      <c r="CB29" s="236">
        <v>10934</v>
      </c>
      <c r="CC29" s="282">
        <v>10934</v>
      </c>
    </row>
    <row r="30" spans="1:81" s="5" customFormat="1">
      <c r="A30" s="138" t="s">
        <v>76</v>
      </c>
      <c r="B30" s="31" t="s">
        <v>28</v>
      </c>
      <c r="C30" s="32" t="s">
        <v>28</v>
      </c>
      <c r="D30" s="32" t="s">
        <v>28</v>
      </c>
      <c r="E30" s="32" t="s">
        <v>28</v>
      </c>
      <c r="F30" s="32" t="s">
        <v>28</v>
      </c>
      <c r="G30" s="32" t="s">
        <v>28</v>
      </c>
      <c r="H30" s="250" t="s">
        <v>28</v>
      </c>
      <c r="I30" s="250" t="s">
        <v>28</v>
      </c>
      <c r="J30" s="31">
        <v>129</v>
      </c>
      <c r="K30" s="32">
        <v>36</v>
      </c>
      <c r="L30" s="32">
        <v>44</v>
      </c>
      <c r="M30" s="32" t="s">
        <v>28</v>
      </c>
      <c r="N30" s="32">
        <v>51</v>
      </c>
      <c r="O30" s="32">
        <v>292</v>
      </c>
      <c r="P30" s="250">
        <v>1889</v>
      </c>
      <c r="Q30" s="257">
        <v>2667</v>
      </c>
      <c r="R30" s="32">
        <v>3161</v>
      </c>
      <c r="S30" s="32">
        <v>3016</v>
      </c>
      <c r="T30" s="32">
        <v>2850</v>
      </c>
      <c r="U30" s="32">
        <v>2649</v>
      </c>
      <c r="V30" s="32">
        <v>2524</v>
      </c>
      <c r="W30" s="32">
        <v>2524</v>
      </c>
      <c r="X30" s="250">
        <v>2134</v>
      </c>
      <c r="Y30" s="250">
        <v>2096</v>
      </c>
      <c r="Z30" s="31">
        <v>886</v>
      </c>
      <c r="AA30" s="32">
        <v>1124</v>
      </c>
      <c r="AB30" s="32">
        <v>1297</v>
      </c>
      <c r="AC30" s="32">
        <v>1542</v>
      </c>
      <c r="AD30" s="32">
        <v>1682</v>
      </c>
      <c r="AE30" s="32">
        <v>1682</v>
      </c>
      <c r="AF30" s="250">
        <v>2226</v>
      </c>
      <c r="AG30" s="257">
        <v>2285</v>
      </c>
      <c r="AH30" s="33">
        <v>4176</v>
      </c>
      <c r="AI30" s="33">
        <f t="shared" si="0"/>
        <v>4176</v>
      </c>
      <c r="AJ30" s="33">
        <f t="shared" si="1"/>
        <v>4191</v>
      </c>
      <c r="AK30" s="33">
        <f t="shared" si="2"/>
        <v>4191</v>
      </c>
      <c r="AL30" s="33">
        <f t="shared" si="3"/>
        <v>4257</v>
      </c>
      <c r="AM30" s="33">
        <v>4498</v>
      </c>
      <c r="AN30" s="266">
        <v>6249</v>
      </c>
      <c r="AO30" s="267">
        <v>7048</v>
      </c>
      <c r="AP30" s="31">
        <v>27515</v>
      </c>
      <c r="AQ30" s="32">
        <v>1077</v>
      </c>
      <c r="AR30" s="32">
        <v>390</v>
      </c>
      <c r="AS30" s="32">
        <v>390</v>
      </c>
      <c r="AT30" s="32" t="s">
        <v>74</v>
      </c>
      <c r="AU30" s="32" t="s">
        <v>28</v>
      </c>
      <c r="AV30" s="250" t="s">
        <v>28</v>
      </c>
      <c r="AW30" s="250" t="s">
        <v>28</v>
      </c>
      <c r="AX30" s="31">
        <v>5015</v>
      </c>
      <c r="AY30" s="32">
        <v>21259</v>
      </c>
      <c r="AZ30" s="32">
        <v>20488</v>
      </c>
      <c r="BA30" s="32">
        <v>20488</v>
      </c>
      <c r="BB30" s="32" t="s">
        <v>74</v>
      </c>
      <c r="BC30" s="32">
        <f>408+19088</f>
        <v>19496</v>
      </c>
      <c r="BD30" s="250">
        <v>20796</v>
      </c>
      <c r="BE30" s="250">
        <v>21458</v>
      </c>
      <c r="BF30" s="31">
        <v>366</v>
      </c>
      <c r="BG30" s="32">
        <v>8683</v>
      </c>
      <c r="BH30" s="32">
        <v>9264</v>
      </c>
      <c r="BI30" s="32">
        <v>9264</v>
      </c>
      <c r="BJ30" s="32" t="s">
        <v>74</v>
      </c>
      <c r="BK30" s="32">
        <f>40+14722</f>
        <v>14762</v>
      </c>
      <c r="BL30" s="250">
        <v>14427</v>
      </c>
      <c r="BM30" s="250">
        <v>13181</v>
      </c>
      <c r="BN30" s="109" t="s">
        <v>28</v>
      </c>
      <c r="BO30" s="35">
        <v>1355</v>
      </c>
      <c r="BP30" s="35">
        <v>2458</v>
      </c>
      <c r="BQ30" s="35">
        <v>2458</v>
      </c>
      <c r="BR30" s="32" t="s">
        <v>74</v>
      </c>
      <c r="BS30" s="32">
        <f>0+3668</f>
        <v>3668</v>
      </c>
      <c r="BT30" s="250">
        <v>3501</v>
      </c>
      <c r="BU30" s="250">
        <v>4589</v>
      </c>
      <c r="BV30" s="31">
        <v>33492</v>
      </c>
      <c r="BW30" s="82">
        <f t="shared" si="4"/>
        <v>32374</v>
      </c>
      <c r="BX30" s="82">
        <f t="shared" si="5"/>
        <v>32600</v>
      </c>
      <c r="BY30" s="82">
        <v>32600</v>
      </c>
      <c r="BZ30" s="82">
        <v>32376</v>
      </c>
      <c r="CA30" s="192">
        <v>37926</v>
      </c>
      <c r="CB30" s="283">
        <v>38724</v>
      </c>
      <c r="CC30" s="284">
        <v>39228</v>
      </c>
    </row>
    <row r="31" spans="1:81">
      <c r="A31" s="138" t="s">
        <v>59</v>
      </c>
      <c r="B31" s="28" t="s">
        <v>28</v>
      </c>
      <c r="C31" s="29" t="s">
        <v>28</v>
      </c>
      <c r="D31" s="29" t="s">
        <v>28</v>
      </c>
      <c r="E31" s="29" t="s">
        <v>28</v>
      </c>
      <c r="F31" s="29" t="s">
        <v>28</v>
      </c>
      <c r="G31" s="29" t="s">
        <v>28</v>
      </c>
      <c r="H31" s="249" t="s">
        <v>28</v>
      </c>
      <c r="I31" s="249" t="s">
        <v>28</v>
      </c>
      <c r="J31" s="28">
        <v>482</v>
      </c>
      <c r="K31" s="29">
        <v>475</v>
      </c>
      <c r="L31" s="29">
        <v>469</v>
      </c>
      <c r="M31" s="29">
        <v>465</v>
      </c>
      <c r="N31" s="29">
        <v>850</v>
      </c>
      <c r="O31" s="29">
        <v>850</v>
      </c>
      <c r="P31" s="249">
        <v>1141</v>
      </c>
      <c r="Q31" s="256">
        <v>1311</v>
      </c>
      <c r="R31" s="29">
        <v>461</v>
      </c>
      <c r="S31" s="29">
        <v>466</v>
      </c>
      <c r="T31" s="29">
        <v>467</v>
      </c>
      <c r="U31" s="29">
        <v>471</v>
      </c>
      <c r="V31" s="29">
        <v>444</v>
      </c>
      <c r="W31" s="29">
        <v>444</v>
      </c>
      <c r="X31" s="249">
        <v>288</v>
      </c>
      <c r="Y31" s="249">
        <v>412</v>
      </c>
      <c r="Z31" s="28">
        <v>16</v>
      </c>
      <c r="AA31" s="29">
        <v>18</v>
      </c>
      <c r="AB31" s="29">
        <v>23</v>
      </c>
      <c r="AC31" s="29">
        <v>23</v>
      </c>
      <c r="AD31" s="29">
        <v>23</v>
      </c>
      <c r="AE31" s="29">
        <v>23</v>
      </c>
      <c r="AF31" s="249">
        <v>23</v>
      </c>
      <c r="AG31" s="256">
        <v>23</v>
      </c>
      <c r="AH31" s="30">
        <v>959</v>
      </c>
      <c r="AI31" s="30">
        <f t="shared" si="0"/>
        <v>959</v>
      </c>
      <c r="AJ31" s="30">
        <f t="shared" si="1"/>
        <v>959</v>
      </c>
      <c r="AK31" s="30">
        <f t="shared" si="2"/>
        <v>959</v>
      </c>
      <c r="AL31" s="30">
        <f t="shared" si="3"/>
        <v>1317</v>
      </c>
      <c r="AM31" s="30">
        <v>1317</v>
      </c>
      <c r="AN31" s="264">
        <v>1452</v>
      </c>
      <c r="AO31" s="265">
        <v>1746</v>
      </c>
      <c r="AP31" s="110" t="s">
        <v>28</v>
      </c>
      <c r="AQ31" s="29" t="s">
        <v>28</v>
      </c>
      <c r="AR31" s="29" t="s">
        <v>28</v>
      </c>
      <c r="AS31" s="29" t="s">
        <v>28</v>
      </c>
      <c r="AT31" s="29" t="s">
        <v>28</v>
      </c>
      <c r="AU31" s="29" t="s">
        <v>28</v>
      </c>
      <c r="AV31" s="249" t="s">
        <v>28</v>
      </c>
      <c r="AW31" s="249" t="s">
        <v>28</v>
      </c>
      <c r="AX31" s="28">
        <v>685</v>
      </c>
      <c r="AY31" s="29">
        <v>960</v>
      </c>
      <c r="AZ31" s="29">
        <v>960</v>
      </c>
      <c r="BA31" s="29">
        <v>960</v>
      </c>
      <c r="BB31" s="29">
        <v>782</v>
      </c>
      <c r="BC31" s="29">
        <f>65+440</f>
        <v>505</v>
      </c>
      <c r="BD31" s="249">
        <v>505</v>
      </c>
      <c r="BE31" s="249">
        <v>468</v>
      </c>
      <c r="BF31" s="28">
        <v>300</v>
      </c>
      <c r="BG31" s="29" t="s">
        <v>28</v>
      </c>
      <c r="BH31" s="29" t="s">
        <v>28</v>
      </c>
      <c r="BI31" s="29" t="s">
        <v>28</v>
      </c>
      <c r="BJ31" s="29">
        <v>343</v>
      </c>
      <c r="BK31" s="29">
        <f>45+63</f>
        <v>108</v>
      </c>
      <c r="BL31" s="249">
        <v>108</v>
      </c>
      <c r="BM31" s="249">
        <v>237</v>
      </c>
      <c r="BN31" s="28">
        <v>39</v>
      </c>
      <c r="BO31" s="29">
        <v>11</v>
      </c>
      <c r="BP31" s="29">
        <v>11</v>
      </c>
      <c r="BQ31" s="29">
        <v>11</v>
      </c>
      <c r="BR31" s="29">
        <v>12</v>
      </c>
      <c r="BS31" s="29">
        <f>0+7</f>
        <v>7</v>
      </c>
      <c r="BT31" s="249">
        <v>7</v>
      </c>
      <c r="BU31" s="249">
        <v>10</v>
      </c>
      <c r="BV31" s="28">
        <v>1137</v>
      </c>
      <c r="BW31" s="83">
        <f t="shared" si="4"/>
        <v>971</v>
      </c>
      <c r="BX31" s="83">
        <f t="shared" si="5"/>
        <v>971</v>
      </c>
      <c r="BY31" s="83">
        <v>971</v>
      </c>
      <c r="BZ31" s="83">
        <v>1137</v>
      </c>
      <c r="CA31" s="193">
        <v>620</v>
      </c>
      <c r="CB31" s="236">
        <v>620</v>
      </c>
      <c r="CC31" s="282">
        <v>715</v>
      </c>
    </row>
    <row r="32" spans="1:81" s="5" customFormat="1">
      <c r="A32" s="138" t="s">
        <v>60</v>
      </c>
      <c r="B32" s="31" t="s">
        <v>28</v>
      </c>
      <c r="C32" s="32" t="s">
        <v>28</v>
      </c>
      <c r="D32" s="32" t="s">
        <v>28</v>
      </c>
      <c r="E32" s="32" t="s">
        <v>28</v>
      </c>
      <c r="F32" s="32" t="s">
        <v>28</v>
      </c>
      <c r="G32" s="32" t="s">
        <v>28</v>
      </c>
      <c r="H32" s="250" t="s">
        <v>28</v>
      </c>
      <c r="I32" s="250" t="s">
        <v>28</v>
      </c>
      <c r="J32" s="31">
        <v>454</v>
      </c>
      <c r="K32" s="32">
        <v>454</v>
      </c>
      <c r="L32" s="32">
        <v>395</v>
      </c>
      <c r="M32" s="32">
        <v>395</v>
      </c>
      <c r="N32" s="32">
        <v>665</v>
      </c>
      <c r="O32" s="32">
        <v>665</v>
      </c>
      <c r="P32" s="250">
        <v>712</v>
      </c>
      <c r="Q32" s="257">
        <v>672</v>
      </c>
      <c r="R32" s="32">
        <v>356</v>
      </c>
      <c r="S32" s="32">
        <v>356</v>
      </c>
      <c r="T32" s="32">
        <v>415</v>
      </c>
      <c r="U32" s="32">
        <v>415</v>
      </c>
      <c r="V32" s="32">
        <v>506</v>
      </c>
      <c r="W32" s="32">
        <v>506</v>
      </c>
      <c r="X32" s="250">
        <v>459</v>
      </c>
      <c r="Y32" s="250">
        <v>496</v>
      </c>
      <c r="Z32" s="109" t="s">
        <v>28</v>
      </c>
      <c r="AA32" s="32" t="s">
        <v>28</v>
      </c>
      <c r="AB32" s="32" t="s">
        <v>28</v>
      </c>
      <c r="AC32" s="32" t="s">
        <v>28</v>
      </c>
      <c r="AD32" s="32" t="s">
        <v>28</v>
      </c>
      <c r="AE32" s="32">
        <v>0</v>
      </c>
      <c r="AF32" s="250">
        <v>0</v>
      </c>
      <c r="AG32" s="257">
        <v>36</v>
      </c>
      <c r="AH32" s="33">
        <v>810</v>
      </c>
      <c r="AI32" s="33">
        <f t="shared" si="0"/>
        <v>810</v>
      </c>
      <c r="AJ32" s="33">
        <f t="shared" si="1"/>
        <v>810</v>
      </c>
      <c r="AK32" s="33">
        <f t="shared" si="2"/>
        <v>810</v>
      </c>
      <c r="AL32" s="33">
        <f t="shared" si="3"/>
        <v>1171</v>
      </c>
      <c r="AM32" s="33">
        <v>1171</v>
      </c>
      <c r="AN32" s="266">
        <v>1171</v>
      </c>
      <c r="AO32" s="267">
        <v>1204</v>
      </c>
      <c r="AP32" s="109" t="s">
        <v>28</v>
      </c>
      <c r="AQ32" s="32" t="s">
        <v>28</v>
      </c>
      <c r="AR32" s="32" t="s">
        <v>28</v>
      </c>
      <c r="AS32" s="32" t="s">
        <v>28</v>
      </c>
      <c r="AT32" s="32">
        <v>73</v>
      </c>
      <c r="AU32" s="32" t="s">
        <v>28</v>
      </c>
      <c r="AV32" s="250" t="s">
        <v>28</v>
      </c>
      <c r="AW32" s="250" t="s">
        <v>28</v>
      </c>
      <c r="AX32" s="31">
        <v>1070</v>
      </c>
      <c r="AY32" s="32">
        <v>1110</v>
      </c>
      <c r="AZ32" s="32">
        <v>1110</v>
      </c>
      <c r="BA32" s="32">
        <v>1110</v>
      </c>
      <c r="BB32" s="32">
        <v>709</v>
      </c>
      <c r="BC32" s="32">
        <f>0+757</f>
        <v>757</v>
      </c>
      <c r="BD32" s="250">
        <v>716</v>
      </c>
      <c r="BE32" s="250">
        <v>716</v>
      </c>
      <c r="BF32" s="31">
        <v>40</v>
      </c>
      <c r="BG32" s="32" t="s">
        <v>28</v>
      </c>
      <c r="BH32" s="32" t="s">
        <v>28</v>
      </c>
      <c r="BI32" s="32" t="s">
        <v>28</v>
      </c>
      <c r="BJ32" s="32">
        <v>48</v>
      </c>
      <c r="BK32" s="32">
        <f>0+78</f>
        <v>78</v>
      </c>
      <c r="BL32" s="250">
        <v>9</v>
      </c>
      <c r="BM32" s="250">
        <v>9</v>
      </c>
      <c r="BN32" s="109" t="s">
        <v>28</v>
      </c>
      <c r="BO32" s="32" t="s">
        <v>28</v>
      </c>
      <c r="BP32" s="32" t="s">
        <v>28</v>
      </c>
      <c r="BQ32" s="32" t="s">
        <v>28</v>
      </c>
      <c r="BR32" s="32" t="s">
        <v>28</v>
      </c>
      <c r="BS32" s="32">
        <v>0</v>
      </c>
      <c r="BT32" s="250">
        <v>0</v>
      </c>
      <c r="BU32" s="250">
        <v>0</v>
      </c>
      <c r="BV32" s="31">
        <v>1110</v>
      </c>
      <c r="BW32" s="82">
        <f t="shared" si="4"/>
        <v>1110</v>
      </c>
      <c r="BX32" s="82">
        <f t="shared" si="5"/>
        <v>1110</v>
      </c>
      <c r="BY32" s="82">
        <v>1110</v>
      </c>
      <c r="BZ32" s="82">
        <v>830</v>
      </c>
      <c r="CA32" s="192">
        <v>835</v>
      </c>
      <c r="CB32" s="283">
        <v>725</v>
      </c>
      <c r="CC32" s="284">
        <v>725</v>
      </c>
    </row>
    <row r="33" spans="1:81">
      <c r="A33" s="138" t="s">
        <v>31</v>
      </c>
      <c r="B33" s="28" t="s">
        <v>28</v>
      </c>
      <c r="C33" s="29" t="s">
        <v>28</v>
      </c>
      <c r="D33" s="29" t="s">
        <v>28</v>
      </c>
      <c r="E33" s="29" t="s">
        <v>28</v>
      </c>
      <c r="F33" s="29" t="s">
        <v>28</v>
      </c>
      <c r="G33" s="29" t="s">
        <v>28</v>
      </c>
      <c r="H33" s="249" t="s">
        <v>28</v>
      </c>
      <c r="I33" s="249" t="s">
        <v>28</v>
      </c>
      <c r="J33" s="28">
        <v>828</v>
      </c>
      <c r="K33" s="29">
        <v>823</v>
      </c>
      <c r="L33" s="29">
        <v>770</v>
      </c>
      <c r="M33" s="29">
        <v>770</v>
      </c>
      <c r="N33" s="29">
        <v>784</v>
      </c>
      <c r="O33" s="29">
        <v>784</v>
      </c>
      <c r="P33" s="249">
        <v>1101</v>
      </c>
      <c r="Q33" s="256">
        <v>1255</v>
      </c>
      <c r="R33" s="29">
        <v>99</v>
      </c>
      <c r="S33" s="29">
        <v>104</v>
      </c>
      <c r="T33" s="29">
        <v>157</v>
      </c>
      <c r="U33" s="29">
        <v>157</v>
      </c>
      <c r="V33" s="29">
        <v>243</v>
      </c>
      <c r="W33" s="29">
        <v>243</v>
      </c>
      <c r="X33" s="249">
        <v>121</v>
      </c>
      <c r="Y33" s="249">
        <v>126</v>
      </c>
      <c r="Z33" s="110" t="s">
        <v>28</v>
      </c>
      <c r="AA33" s="29" t="s">
        <v>28</v>
      </c>
      <c r="AB33" s="29" t="s">
        <v>28</v>
      </c>
      <c r="AC33" s="29" t="s">
        <v>28</v>
      </c>
      <c r="AD33" s="29" t="s">
        <v>28</v>
      </c>
      <c r="AE33" s="29">
        <v>0</v>
      </c>
      <c r="AF33" s="249">
        <v>0</v>
      </c>
      <c r="AG33" s="256">
        <v>0</v>
      </c>
      <c r="AH33" s="30">
        <v>927</v>
      </c>
      <c r="AI33" s="30">
        <f t="shared" si="0"/>
        <v>927</v>
      </c>
      <c r="AJ33" s="30">
        <f t="shared" si="1"/>
        <v>927</v>
      </c>
      <c r="AK33" s="30">
        <f t="shared" si="2"/>
        <v>927</v>
      </c>
      <c r="AL33" s="30">
        <f t="shared" si="3"/>
        <v>1027</v>
      </c>
      <c r="AM33" s="30">
        <v>1027</v>
      </c>
      <c r="AN33" s="264">
        <v>1222</v>
      </c>
      <c r="AO33" s="265">
        <v>1381</v>
      </c>
      <c r="AP33" s="110" t="s">
        <v>28</v>
      </c>
      <c r="AQ33" s="29" t="s">
        <v>28</v>
      </c>
      <c r="AR33" s="29" t="s">
        <v>28</v>
      </c>
      <c r="AS33" s="29" t="s">
        <v>28</v>
      </c>
      <c r="AT33" s="29" t="s">
        <v>28</v>
      </c>
      <c r="AU33" s="29" t="s">
        <v>28</v>
      </c>
      <c r="AV33" s="249" t="s">
        <v>28</v>
      </c>
      <c r="AW33" s="249" t="s">
        <v>28</v>
      </c>
      <c r="AX33" s="28">
        <v>170</v>
      </c>
      <c r="AY33" s="29">
        <v>259</v>
      </c>
      <c r="AZ33" s="29">
        <v>696</v>
      </c>
      <c r="BA33" s="29">
        <v>696</v>
      </c>
      <c r="BB33" s="29">
        <v>696</v>
      </c>
      <c r="BC33" s="29">
        <f>0+310</f>
        <v>310</v>
      </c>
      <c r="BD33" s="249">
        <v>214</v>
      </c>
      <c r="BE33" s="249">
        <v>214</v>
      </c>
      <c r="BF33" s="110" t="s">
        <v>28</v>
      </c>
      <c r="BG33" s="29" t="s">
        <v>28</v>
      </c>
      <c r="BH33" s="29" t="s">
        <v>28</v>
      </c>
      <c r="BI33" s="29" t="s">
        <v>28</v>
      </c>
      <c r="BJ33" s="29" t="s">
        <v>28</v>
      </c>
      <c r="BK33" s="29">
        <v>0</v>
      </c>
      <c r="BL33" s="249">
        <v>0</v>
      </c>
      <c r="BM33" s="249">
        <v>0</v>
      </c>
      <c r="BN33" s="110" t="s">
        <v>28</v>
      </c>
      <c r="BO33" s="29" t="s">
        <v>28</v>
      </c>
      <c r="BP33" s="29" t="s">
        <v>28</v>
      </c>
      <c r="BQ33" s="29" t="s">
        <v>28</v>
      </c>
      <c r="BR33" s="29" t="s">
        <v>28</v>
      </c>
      <c r="BS33" s="29">
        <v>0</v>
      </c>
      <c r="BT33" s="249">
        <v>0</v>
      </c>
      <c r="BU33" s="249">
        <v>0</v>
      </c>
      <c r="BV33" s="28">
        <v>259</v>
      </c>
      <c r="BW33" s="83">
        <f t="shared" si="4"/>
        <v>259</v>
      </c>
      <c r="BX33" s="83">
        <f t="shared" si="5"/>
        <v>696</v>
      </c>
      <c r="BY33" s="83">
        <v>696</v>
      </c>
      <c r="BZ33" s="83">
        <v>696</v>
      </c>
      <c r="CA33" s="193">
        <v>310</v>
      </c>
      <c r="CB33" s="236">
        <v>214</v>
      </c>
      <c r="CC33" s="282">
        <v>214</v>
      </c>
    </row>
    <row r="34" spans="1:81" s="5" customFormat="1">
      <c r="A34" s="138" t="s">
        <v>61</v>
      </c>
      <c r="B34" s="31" t="s">
        <v>28</v>
      </c>
      <c r="C34" s="32" t="s">
        <v>28</v>
      </c>
      <c r="D34" s="32" t="s">
        <v>28</v>
      </c>
      <c r="E34" s="32" t="s">
        <v>28</v>
      </c>
      <c r="F34" s="32" t="s">
        <v>28</v>
      </c>
      <c r="G34" s="32" t="s">
        <v>28</v>
      </c>
      <c r="H34" s="250" t="s">
        <v>28</v>
      </c>
      <c r="I34" s="250" t="s">
        <v>28</v>
      </c>
      <c r="J34" s="31">
        <v>367</v>
      </c>
      <c r="K34" s="32">
        <v>363</v>
      </c>
      <c r="L34" s="32">
        <v>346</v>
      </c>
      <c r="M34" s="32">
        <v>319</v>
      </c>
      <c r="N34" s="32">
        <v>291</v>
      </c>
      <c r="O34" s="32">
        <v>291</v>
      </c>
      <c r="P34" s="250">
        <v>662</v>
      </c>
      <c r="Q34" s="257">
        <v>1001</v>
      </c>
      <c r="R34" s="32">
        <v>127</v>
      </c>
      <c r="S34" s="32">
        <v>131</v>
      </c>
      <c r="T34" s="32">
        <v>148</v>
      </c>
      <c r="U34" s="32">
        <v>175</v>
      </c>
      <c r="V34" s="32">
        <v>203</v>
      </c>
      <c r="W34" s="32">
        <v>203</v>
      </c>
      <c r="X34" s="250">
        <v>79</v>
      </c>
      <c r="Y34" s="250">
        <v>79</v>
      </c>
      <c r="Z34" s="109" t="s">
        <v>28</v>
      </c>
      <c r="AA34" s="32" t="s">
        <v>28</v>
      </c>
      <c r="AB34" s="32" t="s">
        <v>28</v>
      </c>
      <c r="AC34" s="32" t="s">
        <v>28</v>
      </c>
      <c r="AD34" s="32" t="s">
        <v>28</v>
      </c>
      <c r="AE34" s="32">
        <v>0</v>
      </c>
      <c r="AF34" s="250">
        <v>0</v>
      </c>
      <c r="AG34" s="257">
        <v>0</v>
      </c>
      <c r="AH34" s="33">
        <v>494</v>
      </c>
      <c r="AI34" s="33">
        <f t="shared" si="0"/>
        <v>494</v>
      </c>
      <c r="AJ34" s="33">
        <f t="shared" si="1"/>
        <v>494</v>
      </c>
      <c r="AK34" s="33">
        <f t="shared" si="2"/>
        <v>494</v>
      </c>
      <c r="AL34" s="33">
        <f t="shared" si="3"/>
        <v>494</v>
      </c>
      <c r="AM34" s="33">
        <v>494</v>
      </c>
      <c r="AN34" s="266">
        <v>741</v>
      </c>
      <c r="AO34" s="267">
        <v>1080</v>
      </c>
      <c r="AP34" s="109" t="s">
        <v>28</v>
      </c>
      <c r="AQ34" s="32" t="s">
        <v>28</v>
      </c>
      <c r="AR34" s="32" t="s">
        <v>28</v>
      </c>
      <c r="AS34" s="32" t="s">
        <v>28</v>
      </c>
      <c r="AT34" s="32" t="s">
        <v>28</v>
      </c>
      <c r="AU34" s="32" t="s">
        <v>28</v>
      </c>
      <c r="AV34" s="250" t="s">
        <v>28</v>
      </c>
      <c r="AW34" s="250" t="s">
        <v>28</v>
      </c>
      <c r="AX34" s="31">
        <v>404</v>
      </c>
      <c r="AY34" s="32">
        <v>541</v>
      </c>
      <c r="AZ34" s="32">
        <v>683</v>
      </c>
      <c r="BA34" s="32">
        <v>763</v>
      </c>
      <c r="BB34" s="32">
        <v>1001</v>
      </c>
      <c r="BC34" s="32">
        <f>457+747</f>
        <v>1204</v>
      </c>
      <c r="BD34" s="250">
        <v>767</v>
      </c>
      <c r="BE34" s="250">
        <v>767</v>
      </c>
      <c r="BF34" s="109" t="s">
        <v>28</v>
      </c>
      <c r="BG34" s="32" t="s">
        <v>28</v>
      </c>
      <c r="BH34" s="32" t="s">
        <v>28</v>
      </c>
      <c r="BI34" s="32" t="s">
        <v>28</v>
      </c>
      <c r="BJ34" s="32" t="s">
        <v>28</v>
      </c>
      <c r="BK34" s="32">
        <v>0</v>
      </c>
      <c r="BL34" s="250">
        <v>0</v>
      </c>
      <c r="BM34" s="250">
        <v>0</v>
      </c>
      <c r="BN34" s="109" t="s">
        <v>28</v>
      </c>
      <c r="BO34" s="32" t="s">
        <v>28</v>
      </c>
      <c r="BP34" s="32" t="s">
        <v>28</v>
      </c>
      <c r="BQ34" s="32" t="s">
        <v>28</v>
      </c>
      <c r="BR34" s="32" t="s">
        <v>28</v>
      </c>
      <c r="BS34" s="32">
        <v>0</v>
      </c>
      <c r="BT34" s="250">
        <v>0</v>
      </c>
      <c r="BU34" s="250">
        <v>0</v>
      </c>
      <c r="BV34" s="31">
        <v>404</v>
      </c>
      <c r="BW34" s="82">
        <f t="shared" si="4"/>
        <v>541</v>
      </c>
      <c r="BX34" s="82">
        <f t="shared" si="5"/>
        <v>683</v>
      </c>
      <c r="BY34" s="82">
        <v>763</v>
      </c>
      <c r="BZ34" s="82">
        <v>1001</v>
      </c>
      <c r="CA34" s="192">
        <v>1204</v>
      </c>
      <c r="CB34" s="283">
        <v>767</v>
      </c>
      <c r="CC34" s="284">
        <v>767</v>
      </c>
    </row>
    <row r="35" spans="1:81">
      <c r="A35" s="138" t="s">
        <v>72</v>
      </c>
      <c r="B35" s="28" t="s">
        <v>28</v>
      </c>
      <c r="C35" s="29" t="s">
        <v>28</v>
      </c>
      <c r="D35" s="29" t="s">
        <v>28</v>
      </c>
      <c r="E35" s="29" t="s">
        <v>28</v>
      </c>
      <c r="F35" s="29" t="s">
        <v>28</v>
      </c>
      <c r="G35" s="29" t="s">
        <v>28</v>
      </c>
      <c r="H35" s="249" t="s">
        <v>28</v>
      </c>
      <c r="I35" s="249" t="s">
        <v>28</v>
      </c>
      <c r="J35" s="28">
        <v>1468</v>
      </c>
      <c r="K35" s="29">
        <v>1531</v>
      </c>
      <c r="L35" s="29">
        <v>1260</v>
      </c>
      <c r="M35" s="29">
        <v>1154</v>
      </c>
      <c r="N35" s="29">
        <v>676</v>
      </c>
      <c r="O35" s="29">
        <v>1388</v>
      </c>
      <c r="P35" s="249">
        <v>357</v>
      </c>
      <c r="Q35" s="256">
        <v>345</v>
      </c>
      <c r="R35" s="29">
        <v>1836</v>
      </c>
      <c r="S35" s="29">
        <v>1729</v>
      </c>
      <c r="T35" s="29">
        <v>1976</v>
      </c>
      <c r="U35" s="29">
        <v>2045</v>
      </c>
      <c r="V35" s="29">
        <v>2494</v>
      </c>
      <c r="W35" s="29">
        <v>2494</v>
      </c>
      <c r="X35" s="249">
        <v>3402</v>
      </c>
      <c r="Y35" s="249">
        <v>3509</v>
      </c>
      <c r="Z35" s="28">
        <v>400</v>
      </c>
      <c r="AA35" s="29">
        <v>444</v>
      </c>
      <c r="AB35" s="29">
        <v>468</v>
      </c>
      <c r="AC35" s="29">
        <v>505</v>
      </c>
      <c r="AD35" s="29">
        <v>534</v>
      </c>
      <c r="AE35" s="29">
        <v>534</v>
      </c>
      <c r="AF35" s="249">
        <v>791</v>
      </c>
      <c r="AG35" s="256">
        <v>791</v>
      </c>
      <c r="AH35" s="30">
        <v>3704</v>
      </c>
      <c r="AI35" s="30">
        <f t="shared" si="0"/>
        <v>3704</v>
      </c>
      <c r="AJ35" s="30">
        <f t="shared" si="1"/>
        <v>3704</v>
      </c>
      <c r="AK35" s="30">
        <f t="shared" si="2"/>
        <v>3704</v>
      </c>
      <c r="AL35" s="30">
        <f t="shared" si="3"/>
        <v>3704</v>
      </c>
      <c r="AM35" s="30">
        <v>4416</v>
      </c>
      <c r="AN35" s="264">
        <v>4550</v>
      </c>
      <c r="AO35" s="265">
        <v>4645</v>
      </c>
      <c r="AP35" s="28">
        <v>1252</v>
      </c>
      <c r="AQ35" s="29">
        <v>941</v>
      </c>
      <c r="AR35" s="29">
        <v>780</v>
      </c>
      <c r="AS35" s="29">
        <v>540</v>
      </c>
      <c r="AT35" s="29">
        <v>437</v>
      </c>
      <c r="AU35" s="29" t="s">
        <v>28</v>
      </c>
      <c r="AV35" s="249" t="s">
        <v>28</v>
      </c>
      <c r="AW35" s="249" t="s">
        <v>28</v>
      </c>
      <c r="AX35" s="28">
        <v>1972</v>
      </c>
      <c r="AY35" s="29">
        <v>2081</v>
      </c>
      <c r="AZ35" s="29">
        <v>2064</v>
      </c>
      <c r="BA35" s="29">
        <v>2143</v>
      </c>
      <c r="BB35" s="29">
        <v>2204</v>
      </c>
      <c r="BC35" s="29">
        <f>17+2425</f>
        <v>2442</v>
      </c>
      <c r="BD35" s="249">
        <v>3132</v>
      </c>
      <c r="BE35" s="249">
        <v>2183</v>
      </c>
      <c r="BF35" s="28">
        <v>409</v>
      </c>
      <c r="BG35" s="29">
        <v>537</v>
      </c>
      <c r="BH35" s="29">
        <v>619</v>
      </c>
      <c r="BI35" s="29">
        <v>640</v>
      </c>
      <c r="BJ35" s="29">
        <v>706</v>
      </c>
      <c r="BK35" s="29">
        <f>0+829</f>
        <v>829</v>
      </c>
      <c r="BL35" s="249">
        <v>1667</v>
      </c>
      <c r="BM35" s="249">
        <v>1833</v>
      </c>
      <c r="BN35" s="28">
        <v>153</v>
      </c>
      <c r="BO35" s="29">
        <v>233</v>
      </c>
      <c r="BP35" s="29">
        <v>238</v>
      </c>
      <c r="BQ35" s="29">
        <v>248</v>
      </c>
      <c r="BR35" s="29">
        <v>248</v>
      </c>
      <c r="BS35" s="29">
        <f>0+276</f>
        <v>276</v>
      </c>
      <c r="BT35" s="249">
        <v>312</v>
      </c>
      <c r="BU35" s="249">
        <v>91</v>
      </c>
      <c r="BV35" s="28">
        <v>3792</v>
      </c>
      <c r="BW35" s="83">
        <f t="shared" si="4"/>
        <v>3792</v>
      </c>
      <c r="BX35" s="83">
        <f t="shared" si="5"/>
        <v>3701</v>
      </c>
      <c r="BY35" s="83">
        <v>3571</v>
      </c>
      <c r="BZ35" s="83">
        <v>3595</v>
      </c>
      <c r="CA35" s="193">
        <v>3547</v>
      </c>
      <c r="CB35" s="236">
        <v>5111</v>
      </c>
      <c r="CC35" s="282">
        <v>4107</v>
      </c>
    </row>
    <row r="36" spans="1:81" s="5" customFormat="1">
      <c r="A36" s="138" t="s">
        <v>54</v>
      </c>
      <c r="B36" s="31" t="s">
        <v>28</v>
      </c>
      <c r="C36" s="32" t="s">
        <v>28</v>
      </c>
      <c r="D36" s="32" t="s">
        <v>28</v>
      </c>
      <c r="E36" s="32" t="s">
        <v>28</v>
      </c>
      <c r="F36" s="32" t="s">
        <v>28</v>
      </c>
      <c r="G36" s="32" t="s">
        <v>28</v>
      </c>
      <c r="H36" s="250" t="s">
        <v>28</v>
      </c>
      <c r="I36" s="250" t="s">
        <v>28</v>
      </c>
      <c r="J36" s="31">
        <v>46</v>
      </c>
      <c r="K36" s="32">
        <v>10</v>
      </c>
      <c r="L36" s="32"/>
      <c r="M36" s="32" t="s">
        <v>28</v>
      </c>
      <c r="N36" s="32">
        <v>0</v>
      </c>
      <c r="O36" s="32">
        <v>0</v>
      </c>
      <c r="P36" s="250">
        <v>397</v>
      </c>
      <c r="Q36" s="257">
        <v>493</v>
      </c>
      <c r="R36" s="32">
        <v>1221</v>
      </c>
      <c r="S36" s="32">
        <v>1179</v>
      </c>
      <c r="T36" s="32">
        <v>1091</v>
      </c>
      <c r="U36" s="32">
        <v>958</v>
      </c>
      <c r="V36" s="32">
        <v>891</v>
      </c>
      <c r="W36" s="32">
        <v>891</v>
      </c>
      <c r="X36" s="250">
        <v>773</v>
      </c>
      <c r="Y36" s="250">
        <v>1170</v>
      </c>
      <c r="Z36" s="31">
        <v>290</v>
      </c>
      <c r="AA36" s="32">
        <v>368</v>
      </c>
      <c r="AB36" s="32">
        <v>466</v>
      </c>
      <c r="AC36" s="32">
        <v>599</v>
      </c>
      <c r="AD36" s="32">
        <v>666</v>
      </c>
      <c r="AE36" s="32">
        <v>666</v>
      </c>
      <c r="AF36" s="250">
        <v>529</v>
      </c>
      <c r="AG36" s="257">
        <v>576</v>
      </c>
      <c r="AH36" s="33">
        <v>1557</v>
      </c>
      <c r="AI36" s="33">
        <f t="shared" si="0"/>
        <v>1557</v>
      </c>
      <c r="AJ36" s="33">
        <f t="shared" si="1"/>
        <v>1557</v>
      </c>
      <c r="AK36" s="33">
        <f t="shared" si="2"/>
        <v>1557</v>
      </c>
      <c r="AL36" s="33">
        <f t="shared" si="3"/>
        <v>1557</v>
      </c>
      <c r="AM36" s="33">
        <v>1557</v>
      </c>
      <c r="AN36" s="266">
        <v>1699</v>
      </c>
      <c r="AO36" s="267">
        <v>2239</v>
      </c>
      <c r="AP36" s="109" t="s">
        <v>28</v>
      </c>
      <c r="AQ36" s="32" t="s">
        <v>28</v>
      </c>
      <c r="AR36" s="32" t="s">
        <v>28</v>
      </c>
      <c r="AS36" s="32" t="s">
        <v>28</v>
      </c>
      <c r="AT36" s="32" t="s">
        <v>28</v>
      </c>
      <c r="AU36" s="32" t="s">
        <v>28</v>
      </c>
      <c r="AV36" s="250" t="s">
        <v>28</v>
      </c>
      <c r="AW36" s="250" t="s">
        <v>28</v>
      </c>
      <c r="AX36" s="31">
        <v>566</v>
      </c>
      <c r="AY36" s="32">
        <v>305</v>
      </c>
      <c r="AZ36" s="32">
        <v>305</v>
      </c>
      <c r="BA36" s="32">
        <v>305</v>
      </c>
      <c r="BB36" s="32">
        <v>207</v>
      </c>
      <c r="BC36" s="32">
        <f>0+166</f>
        <v>166</v>
      </c>
      <c r="BD36" s="250">
        <v>420</v>
      </c>
      <c r="BE36" s="250">
        <v>238</v>
      </c>
      <c r="BF36" s="31">
        <v>694</v>
      </c>
      <c r="BG36" s="32">
        <v>1135</v>
      </c>
      <c r="BH36" s="32">
        <v>1135</v>
      </c>
      <c r="BI36" s="32">
        <v>1135</v>
      </c>
      <c r="BJ36" s="32">
        <v>1135</v>
      </c>
      <c r="BK36" s="32">
        <f>0+1176</f>
        <v>1176</v>
      </c>
      <c r="BL36" s="250">
        <v>880</v>
      </c>
      <c r="BM36" s="250">
        <v>880</v>
      </c>
      <c r="BN36" s="31">
        <v>132</v>
      </c>
      <c r="BO36" s="32">
        <v>37</v>
      </c>
      <c r="BP36" s="32">
        <v>37</v>
      </c>
      <c r="BQ36" s="32">
        <v>36</v>
      </c>
      <c r="BR36" s="32">
        <v>134</v>
      </c>
      <c r="BS36" s="32">
        <f>0+135</f>
        <v>135</v>
      </c>
      <c r="BT36" s="250">
        <v>15</v>
      </c>
      <c r="BU36" s="250">
        <v>15</v>
      </c>
      <c r="BV36" s="31">
        <v>1393</v>
      </c>
      <c r="BW36" s="82">
        <f t="shared" si="4"/>
        <v>1477</v>
      </c>
      <c r="BX36" s="82">
        <f t="shared" si="5"/>
        <v>1477</v>
      </c>
      <c r="BY36" s="82">
        <v>1476</v>
      </c>
      <c r="BZ36" s="82">
        <v>1477</v>
      </c>
      <c r="CA36" s="192">
        <v>1477</v>
      </c>
      <c r="CB36" s="283">
        <v>1315</v>
      </c>
      <c r="CC36" s="284">
        <v>1133</v>
      </c>
    </row>
    <row r="37" spans="1:81">
      <c r="A37" s="138" t="s">
        <v>32</v>
      </c>
      <c r="B37" s="28" t="s">
        <v>28</v>
      </c>
      <c r="C37" s="29" t="s">
        <v>28</v>
      </c>
      <c r="D37" s="29" t="s">
        <v>28</v>
      </c>
      <c r="E37" s="29" t="s">
        <v>28</v>
      </c>
      <c r="F37" s="29" t="s">
        <v>28</v>
      </c>
      <c r="G37" s="29" t="s">
        <v>28</v>
      </c>
      <c r="H37" s="249" t="s">
        <v>28</v>
      </c>
      <c r="I37" s="249" t="s">
        <v>28</v>
      </c>
      <c r="J37" s="28">
        <v>1488</v>
      </c>
      <c r="K37" s="29">
        <v>1377</v>
      </c>
      <c r="L37" s="29">
        <v>1237</v>
      </c>
      <c r="M37" s="29">
        <v>1186</v>
      </c>
      <c r="N37" s="29">
        <v>1422</v>
      </c>
      <c r="O37" s="29">
        <v>1472</v>
      </c>
      <c r="P37" s="249">
        <v>1929</v>
      </c>
      <c r="Q37" s="256">
        <v>1621</v>
      </c>
      <c r="R37" s="29">
        <v>2800</v>
      </c>
      <c r="S37" s="29">
        <v>2458</v>
      </c>
      <c r="T37" s="29">
        <v>2582</v>
      </c>
      <c r="U37" s="29">
        <v>2536</v>
      </c>
      <c r="V37" s="29">
        <v>3668</v>
      </c>
      <c r="W37" s="29">
        <v>3668</v>
      </c>
      <c r="X37" s="249">
        <v>3661</v>
      </c>
      <c r="Y37" s="249">
        <v>3974</v>
      </c>
      <c r="Z37" s="28">
        <v>1297</v>
      </c>
      <c r="AA37" s="29">
        <v>1750</v>
      </c>
      <c r="AB37" s="29">
        <v>1766</v>
      </c>
      <c r="AC37" s="29">
        <v>1863</v>
      </c>
      <c r="AD37" s="29">
        <v>2040</v>
      </c>
      <c r="AE37" s="29">
        <v>2040</v>
      </c>
      <c r="AF37" s="249">
        <v>2055</v>
      </c>
      <c r="AG37" s="256">
        <v>2291</v>
      </c>
      <c r="AH37" s="30">
        <v>5585</v>
      </c>
      <c r="AI37" s="30">
        <f t="shared" si="0"/>
        <v>5585</v>
      </c>
      <c r="AJ37" s="30">
        <f t="shared" si="1"/>
        <v>5585</v>
      </c>
      <c r="AK37" s="30">
        <f t="shared" si="2"/>
        <v>5585</v>
      </c>
      <c r="AL37" s="30">
        <f t="shared" si="3"/>
        <v>7130</v>
      </c>
      <c r="AM37" s="30">
        <v>7180</v>
      </c>
      <c r="AN37" s="264">
        <v>7646</v>
      </c>
      <c r="AO37" s="265">
        <v>7886</v>
      </c>
      <c r="AP37" s="28">
        <v>2809</v>
      </c>
      <c r="AQ37" s="29">
        <v>2745</v>
      </c>
      <c r="AR37" s="29">
        <v>2711</v>
      </c>
      <c r="AS37" s="29">
        <v>2438</v>
      </c>
      <c r="AT37" s="29">
        <v>4</v>
      </c>
      <c r="AU37" s="29" t="s">
        <v>28</v>
      </c>
      <c r="AV37" s="249" t="s">
        <v>28</v>
      </c>
      <c r="AW37" s="249" t="s">
        <v>28</v>
      </c>
      <c r="AX37" s="28">
        <v>5582</v>
      </c>
      <c r="AY37" s="29">
        <v>5171</v>
      </c>
      <c r="AZ37" s="29">
        <v>5037</v>
      </c>
      <c r="BA37" s="29">
        <v>4784</v>
      </c>
      <c r="BB37" s="29" t="s">
        <v>74</v>
      </c>
      <c r="BC37" s="29">
        <f>4+5757</f>
        <v>5761</v>
      </c>
      <c r="BD37" s="249">
        <v>5959</v>
      </c>
      <c r="BE37" s="249">
        <v>5205</v>
      </c>
      <c r="BF37" s="28">
        <v>2534</v>
      </c>
      <c r="BG37" s="29">
        <v>2911</v>
      </c>
      <c r="BH37" s="29">
        <v>2868</v>
      </c>
      <c r="BI37" s="29">
        <v>3161</v>
      </c>
      <c r="BJ37" s="29" t="s">
        <v>74</v>
      </c>
      <c r="BK37" s="29">
        <f>0+3590</f>
        <v>3590</v>
      </c>
      <c r="BL37" s="249">
        <v>4210</v>
      </c>
      <c r="BM37" s="249">
        <v>4535</v>
      </c>
      <c r="BN37" s="28">
        <v>281</v>
      </c>
      <c r="BO37" s="29">
        <v>379</v>
      </c>
      <c r="BP37" s="29">
        <v>604</v>
      </c>
      <c r="BQ37" s="29">
        <v>889</v>
      </c>
      <c r="BR37" s="29" t="s">
        <v>74</v>
      </c>
      <c r="BS37" s="29">
        <f>0+1072</f>
        <v>1072</v>
      </c>
      <c r="BT37" s="249">
        <v>1072</v>
      </c>
      <c r="BU37" s="249">
        <v>1150</v>
      </c>
      <c r="BV37" s="28">
        <v>11211</v>
      </c>
      <c r="BW37" s="83">
        <f t="shared" si="4"/>
        <v>11206</v>
      </c>
      <c r="BX37" s="83">
        <f t="shared" si="5"/>
        <v>11220</v>
      </c>
      <c r="BY37" s="83">
        <v>11272</v>
      </c>
      <c r="BZ37" s="83">
        <v>10414</v>
      </c>
      <c r="CA37" s="193">
        <v>10423</v>
      </c>
      <c r="CB37" s="236">
        <v>11241</v>
      </c>
      <c r="CC37" s="282">
        <v>10890</v>
      </c>
    </row>
    <row r="38" spans="1:81" s="5" customFormat="1">
      <c r="A38" s="138" t="s">
        <v>33</v>
      </c>
      <c r="B38" s="31" t="s">
        <v>28</v>
      </c>
      <c r="C38" s="32" t="s">
        <v>28</v>
      </c>
      <c r="D38" s="32" t="s">
        <v>28</v>
      </c>
      <c r="E38" s="32" t="s">
        <v>28</v>
      </c>
      <c r="F38" s="32" t="s">
        <v>28</v>
      </c>
      <c r="G38" s="32" t="s">
        <v>28</v>
      </c>
      <c r="H38" s="250" t="s">
        <v>28</v>
      </c>
      <c r="I38" s="250" t="s">
        <v>28</v>
      </c>
      <c r="J38" s="31">
        <v>62</v>
      </c>
      <c r="K38" s="32">
        <v>62</v>
      </c>
      <c r="L38" s="32">
        <v>62</v>
      </c>
      <c r="M38" s="32">
        <v>62</v>
      </c>
      <c r="N38" s="32">
        <v>149</v>
      </c>
      <c r="O38" s="32">
        <v>149</v>
      </c>
      <c r="P38" s="250">
        <v>149</v>
      </c>
      <c r="Q38" s="257">
        <v>279</v>
      </c>
      <c r="R38" s="35" t="s">
        <v>28</v>
      </c>
      <c r="S38" s="32" t="s">
        <v>28</v>
      </c>
      <c r="T38" s="32" t="s">
        <v>28</v>
      </c>
      <c r="U38" s="32" t="s">
        <v>28</v>
      </c>
      <c r="V38" s="32" t="s">
        <v>28</v>
      </c>
      <c r="W38" s="32">
        <v>0</v>
      </c>
      <c r="X38" s="250">
        <v>0</v>
      </c>
      <c r="Y38" s="250">
        <v>30</v>
      </c>
      <c r="Z38" s="109" t="s">
        <v>28</v>
      </c>
      <c r="AA38" s="32" t="s">
        <v>28</v>
      </c>
      <c r="AB38" s="32" t="s">
        <v>28</v>
      </c>
      <c r="AC38" s="32" t="s">
        <v>28</v>
      </c>
      <c r="AD38" s="32" t="s">
        <v>28</v>
      </c>
      <c r="AE38" s="32">
        <v>0</v>
      </c>
      <c r="AF38" s="250">
        <v>0</v>
      </c>
      <c r="AG38" s="257">
        <v>0</v>
      </c>
      <c r="AH38" s="33">
        <v>62</v>
      </c>
      <c r="AI38" s="33">
        <f t="shared" si="0"/>
        <v>62</v>
      </c>
      <c r="AJ38" s="33">
        <f t="shared" si="1"/>
        <v>62</v>
      </c>
      <c r="AK38" s="33">
        <f t="shared" si="2"/>
        <v>62</v>
      </c>
      <c r="AL38" s="33">
        <f t="shared" si="3"/>
        <v>149</v>
      </c>
      <c r="AM38" s="33">
        <v>149</v>
      </c>
      <c r="AN38" s="266">
        <v>149</v>
      </c>
      <c r="AO38" s="267">
        <v>309</v>
      </c>
      <c r="AP38" s="109" t="s">
        <v>28</v>
      </c>
      <c r="AQ38" s="32" t="s">
        <v>28</v>
      </c>
      <c r="AR38" s="32" t="s">
        <v>28</v>
      </c>
      <c r="AS38" s="32" t="s">
        <v>28</v>
      </c>
      <c r="AT38" s="32" t="s">
        <v>28</v>
      </c>
      <c r="AU38" s="32" t="s">
        <v>28</v>
      </c>
      <c r="AV38" s="250" t="s">
        <v>28</v>
      </c>
      <c r="AW38" s="250" t="s">
        <v>28</v>
      </c>
      <c r="AX38" s="31">
        <v>179</v>
      </c>
      <c r="AY38" s="32">
        <v>179</v>
      </c>
      <c r="AZ38" s="32">
        <v>179</v>
      </c>
      <c r="BA38" s="32">
        <v>179</v>
      </c>
      <c r="BB38" s="32">
        <v>179</v>
      </c>
      <c r="BC38" s="32">
        <v>0</v>
      </c>
      <c r="BD38" s="250">
        <v>179</v>
      </c>
      <c r="BE38" s="250">
        <v>701</v>
      </c>
      <c r="BF38" s="109" t="s">
        <v>28</v>
      </c>
      <c r="BG38" s="32" t="s">
        <v>28</v>
      </c>
      <c r="BH38" s="32" t="s">
        <v>28</v>
      </c>
      <c r="BI38" s="32" t="s">
        <v>28</v>
      </c>
      <c r="BJ38" s="32" t="s">
        <v>28</v>
      </c>
      <c r="BK38" s="32">
        <f>0+179</f>
        <v>179</v>
      </c>
      <c r="BL38" s="250">
        <v>0</v>
      </c>
      <c r="BM38" s="250">
        <v>0</v>
      </c>
      <c r="BN38" s="109" t="s">
        <v>28</v>
      </c>
      <c r="BO38" s="32" t="s">
        <v>28</v>
      </c>
      <c r="BP38" s="32" t="s">
        <v>28</v>
      </c>
      <c r="BQ38" s="32" t="s">
        <v>28</v>
      </c>
      <c r="BR38" s="32" t="s">
        <v>28</v>
      </c>
      <c r="BS38" s="32">
        <v>0</v>
      </c>
      <c r="BT38" s="250">
        <v>0</v>
      </c>
      <c r="BU38" s="250">
        <v>0</v>
      </c>
      <c r="BV38" s="31">
        <v>179</v>
      </c>
      <c r="BW38" s="82">
        <f t="shared" si="4"/>
        <v>179</v>
      </c>
      <c r="BX38" s="82">
        <f t="shared" si="5"/>
        <v>179</v>
      </c>
      <c r="BY38" s="82">
        <v>179</v>
      </c>
      <c r="BZ38" s="82">
        <v>179</v>
      </c>
      <c r="CA38" s="192">
        <v>179</v>
      </c>
      <c r="CB38" s="283">
        <v>179</v>
      </c>
      <c r="CC38" s="284">
        <v>701</v>
      </c>
    </row>
    <row r="39" spans="1:81">
      <c r="A39" s="138" t="s">
        <v>34</v>
      </c>
      <c r="B39" s="28" t="s">
        <v>28</v>
      </c>
      <c r="C39" s="29" t="s">
        <v>28</v>
      </c>
      <c r="D39" s="29" t="s">
        <v>28</v>
      </c>
      <c r="E39" s="29" t="s">
        <v>28</v>
      </c>
      <c r="F39" s="29" t="s">
        <v>28</v>
      </c>
      <c r="G39" s="29" t="s">
        <v>28</v>
      </c>
      <c r="H39" s="249" t="s">
        <v>28</v>
      </c>
      <c r="I39" s="249" t="s">
        <v>28</v>
      </c>
      <c r="J39" s="28">
        <v>130</v>
      </c>
      <c r="K39" s="29">
        <v>256</v>
      </c>
      <c r="L39" s="29">
        <v>80</v>
      </c>
      <c r="M39" s="29">
        <v>75</v>
      </c>
      <c r="N39" s="29">
        <v>60</v>
      </c>
      <c r="O39" s="29">
        <v>60</v>
      </c>
      <c r="P39" s="249">
        <v>157</v>
      </c>
      <c r="Q39" s="256">
        <v>161</v>
      </c>
      <c r="R39" s="29">
        <v>3447</v>
      </c>
      <c r="S39" s="29">
        <v>3008</v>
      </c>
      <c r="T39" s="29">
        <v>2862</v>
      </c>
      <c r="U39" s="29">
        <v>2651</v>
      </c>
      <c r="V39" s="29">
        <v>2637</v>
      </c>
      <c r="W39" s="29">
        <v>2637</v>
      </c>
      <c r="X39" s="249">
        <v>4232</v>
      </c>
      <c r="Y39" s="249">
        <v>2790</v>
      </c>
      <c r="Z39" s="28">
        <v>885</v>
      </c>
      <c r="AA39" s="29">
        <v>1568</v>
      </c>
      <c r="AB39" s="29">
        <v>1890</v>
      </c>
      <c r="AC39" s="29">
        <v>2106</v>
      </c>
      <c r="AD39" s="29">
        <v>2245</v>
      </c>
      <c r="AE39" s="29">
        <v>2246</v>
      </c>
      <c r="AF39" s="249">
        <v>586</v>
      </c>
      <c r="AG39" s="256">
        <v>2055</v>
      </c>
      <c r="AH39" s="30">
        <v>4462</v>
      </c>
      <c r="AI39" s="30">
        <f t="shared" si="0"/>
        <v>4832</v>
      </c>
      <c r="AJ39" s="30">
        <f t="shared" si="1"/>
        <v>4832</v>
      </c>
      <c r="AK39" s="30">
        <f t="shared" si="2"/>
        <v>4832</v>
      </c>
      <c r="AL39" s="30">
        <f t="shared" si="3"/>
        <v>4942</v>
      </c>
      <c r="AM39" s="30">
        <v>4943</v>
      </c>
      <c r="AN39" s="264">
        <v>4975</v>
      </c>
      <c r="AO39" s="265">
        <v>5006</v>
      </c>
      <c r="AP39" s="110" t="s">
        <v>28</v>
      </c>
      <c r="AQ39" s="29" t="s">
        <v>28</v>
      </c>
      <c r="AR39" s="29" t="s">
        <v>28</v>
      </c>
      <c r="AS39" s="29" t="s">
        <v>28</v>
      </c>
      <c r="AT39" s="29" t="s">
        <v>28</v>
      </c>
      <c r="AU39" s="29" t="s">
        <v>28</v>
      </c>
      <c r="AV39" s="249" t="s">
        <v>28</v>
      </c>
      <c r="AW39" s="249" t="s">
        <v>28</v>
      </c>
      <c r="AX39" s="28">
        <v>1781</v>
      </c>
      <c r="AY39" s="29">
        <v>1682</v>
      </c>
      <c r="AZ39" s="29">
        <v>1446</v>
      </c>
      <c r="BA39" s="29">
        <v>995</v>
      </c>
      <c r="BB39" s="29">
        <v>725</v>
      </c>
      <c r="BC39" s="29">
        <v>321</v>
      </c>
      <c r="BD39" s="249">
        <v>577</v>
      </c>
      <c r="BE39" s="249">
        <v>460</v>
      </c>
      <c r="BF39" s="28">
        <v>7021</v>
      </c>
      <c r="BG39" s="29">
        <v>7047</v>
      </c>
      <c r="BH39" s="29">
        <v>7261</v>
      </c>
      <c r="BI39" s="29">
        <v>8709</v>
      </c>
      <c r="BJ39" s="29">
        <v>9028</v>
      </c>
      <c r="BK39" s="29">
        <f>0+9354</f>
        <v>9354</v>
      </c>
      <c r="BL39" s="249">
        <v>9710</v>
      </c>
      <c r="BM39" s="249">
        <v>9853</v>
      </c>
      <c r="BN39" s="28">
        <v>462</v>
      </c>
      <c r="BO39" s="29">
        <v>655</v>
      </c>
      <c r="BP39" s="29">
        <v>677</v>
      </c>
      <c r="BQ39" s="29">
        <v>857</v>
      </c>
      <c r="BR39" s="29">
        <v>1011</v>
      </c>
      <c r="BS39" s="29">
        <f>0+1089</f>
        <v>1089</v>
      </c>
      <c r="BT39" s="249">
        <v>1307</v>
      </c>
      <c r="BU39" s="249">
        <v>1439</v>
      </c>
      <c r="BV39" s="28">
        <v>9264</v>
      </c>
      <c r="BW39" s="83">
        <f t="shared" si="4"/>
        <v>9384</v>
      </c>
      <c r="BX39" s="83">
        <f t="shared" si="5"/>
        <v>9384</v>
      </c>
      <c r="BY39" s="83">
        <v>10561</v>
      </c>
      <c r="BZ39" s="83">
        <v>10764</v>
      </c>
      <c r="CA39" s="193">
        <v>10764</v>
      </c>
      <c r="CB39" s="236">
        <v>11594</v>
      </c>
      <c r="CC39" s="282">
        <v>11752</v>
      </c>
    </row>
    <row r="40" spans="1:81">
      <c r="A40" s="138" t="s">
        <v>90</v>
      </c>
      <c r="B40" s="28"/>
      <c r="C40" s="29"/>
      <c r="D40" s="29"/>
      <c r="E40" s="29"/>
      <c r="F40" s="29"/>
      <c r="G40" s="29"/>
      <c r="H40" s="249"/>
      <c r="I40" s="249"/>
      <c r="J40" s="28"/>
      <c r="K40" s="29"/>
      <c r="L40" s="29"/>
      <c r="M40" s="29"/>
      <c r="N40" s="29"/>
      <c r="O40" s="29"/>
      <c r="P40" s="249"/>
      <c r="Q40" s="256">
        <v>441</v>
      </c>
      <c r="R40" s="29"/>
      <c r="S40" s="29"/>
      <c r="T40" s="29"/>
      <c r="U40" s="29"/>
      <c r="V40" s="29"/>
      <c r="W40" s="29"/>
      <c r="X40" s="249"/>
      <c r="Y40" s="249">
        <v>1350</v>
      </c>
      <c r="Z40" s="28"/>
      <c r="AA40" s="29"/>
      <c r="AB40" s="29"/>
      <c r="AC40" s="29"/>
      <c r="AD40" s="29"/>
      <c r="AE40" s="29"/>
      <c r="AF40" s="249"/>
      <c r="AG40" s="256">
        <v>896</v>
      </c>
      <c r="AH40" s="30"/>
      <c r="AI40" s="30"/>
      <c r="AJ40" s="30"/>
      <c r="AK40" s="30"/>
      <c r="AL40" s="30"/>
      <c r="AM40" s="30"/>
      <c r="AN40" s="268" t="s">
        <v>28</v>
      </c>
      <c r="AO40" s="265">
        <v>2687</v>
      </c>
      <c r="AP40" s="110"/>
      <c r="AQ40" s="29"/>
      <c r="AR40" s="29"/>
      <c r="AS40" s="29"/>
      <c r="AT40" s="29"/>
      <c r="AU40" s="29"/>
      <c r="AV40" s="249"/>
      <c r="AW40" s="249"/>
      <c r="AX40" s="28"/>
      <c r="AY40" s="29"/>
      <c r="AZ40" s="29"/>
      <c r="BA40" s="29"/>
      <c r="BB40" s="29"/>
      <c r="BC40" s="29"/>
      <c r="BD40" s="249">
        <v>498</v>
      </c>
      <c r="BE40" s="249">
        <v>169</v>
      </c>
      <c r="BF40" s="28"/>
      <c r="BG40" s="29"/>
      <c r="BH40" s="29"/>
      <c r="BI40" s="29"/>
      <c r="BJ40" s="29"/>
      <c r="BK40" s="29"/>
      <c r="BL40" s="249">
        <v>2475</v>
      </c>
      <c r="BM40" s="249">
        <v>2200</v>
      </c>
      <c r="BN40" s="28"/>
      <c r="BO40" s="29"/>
      <c r="BP40" s="29"/>
      <c r="BQ40" s="29"/>
      <c r="BR40" s="29"/>
      <c r="BS40" s="29"/>
      <c r="BT40" s="249">
        <v>412</v>
      </c>
      <c r="BU40" s="249">
        <v>375</v>
      </c>
      <c r="BV40" s="28"/>
      <c r="BW40" s="83"/>
      <c r="BX40" s="83"/>
      <c r="BY40" s="83"/>
      <c r="BZ40" s="83"/>
      <c r="CA40" s="193"/>
      <c r="CB40" s="236">
        <v>3385</v>
      </c>
      <c r="CC40" s="282">
        <v>2744</v>
      </c>
    </row>
    <row r="41" spans="1:81" s="5" customFormat="1">
      <c r="A41" s="138" t="s">
        <v>62</v>
      </c>
      <c r="B41" s="31" t="s">
        <v>28</v>
      </c>
      <c r="C41" s="32" t="s">
        <v>28</v>
      </c>
      <c r="D41" s="32" t="s">
        <v>28</v>
      </c>
      <c r="E41" s="32" t="s">
        <v>28</v>
      </c>
      <c r="F41" s="32" t="s">
        <v>28</v>
      </c>
      <c r="G41" s="32" t="s">
        <v>28</v>
      </c>
      <c r="H41" s="250" t="s">
        <v>28</v>
      </c>
      <c r="I41" s="250" t="s">
        <v>28</v>
      </c>
      <c r="J41" s="31">
        <v>336</v>
      </c>
      <c r="K41" s="32">
        <v>336</v>
      </c>
      <c r="L41" s="32">
        <v>334</v>
      </c>
      <c r="M41" s="32">
        <v>328</v>
      </c>
      <c r="N41" s="32">
        <v>362</v>
      </c>
      <c r="O41" s="32">
        <v>362</v>
      </c>
      <c r="P41" s="250">
        <v>452</v>
      </c>
      <c r="Q41" s="257">
        <v>502</v>
      </c>
      <c r="R41" s="32">
        <v>64</v>
      </c>
      <c r="S41" s="32">
        <v>64</v>
      </c>
      <c r="T41" s="32">
        <v>66</v>
      </c>
      <c r="U41" s="32">
        <v>72</v>
      </c>
      <c r="V41" s="32">
        <v>38</v>
      </c>
      <c r="W41" s="32">
        <v>38</v>
      </c>
      <c r="X41" s="250">
        <v>57</v>
      </c>
      <c r="Y41" s="250">
        <v>75</v>
      </c>
      <c r="Z41" s="109" t="s">
        <v>28</v>
      </c>
      <c r="AA41" s="32" t="s">
        <v>28</v>
      </c>
      <c r="AB41" s="32" t="s">
        <v>28</v>
      </c>
      <c r="AC41" s="32" t="s">
        <v>28</v>
      </c>
      <c r="AD41" s="32" t="s">
        <v>28</v>
      </c>
      <c r="AE41" s="32">
        <v>0</v>
      </c>
      <c r="AF41" s="250">
        <v>0</v>
      </c>
      <c r="AG41" s="257">
        <v>0</v>
      </c>
      <c r="AH41" s="33">
        <v>400</v>
      </c>
      <c r="AI41" s="33">
        <f t="shared" si="0"/>
        <v>400</v>
      </c>
      <c r="AJ41" s="33">
        <f t="shared" si="1"/>
        <v>400</v>
      </c>
      <c r="AK41" s="33">
        <f t="shared" si="2"/>
        <v>400</v>
      </c>
      <c r="AL41" s="33">
        <f t="shared" si="3"/>
        <v>400</v>
      </c>
      <c r="AM41" s="33">
        <v>400</v>
      </c>
      <c r="AN41" s="266">
        <v>509</v>
      </c>
      <c r="AO41" s="267">
        <v>577</v>
      </c>
      <c r="AP41" s="31">
        <v>72</v>
      </c>
      <c r="AQ41" s="32">
        <v>72</v>
      </c>
      <c r="AR41" s="32">
        <v>72</v>
      </c>
      <c r="AS41" s="32" t="s">
        <v>28</v>
      </c>
      <c r="AT41" s="32" t="s">
        <v>28</v>
      </c>
      <c r="AU41" s="32" t="s">
        <v>28</v>
      </c>
      <c r="AV41" s="250" t="s">
        <v>28</v>
      </c>
      <c r="AW41" s="250" t="s">
        <v>28</v>
      </c>
      <c r="AX41" s="31">
        <v>607</v>
      </c>
      <c r="AY41" s="32">
        <v>607</v>
      </c>
      <c r="AZ41" s="32">
        <v>607</v>
      </c>
      <c r="BA41" s="32">
        <v>470</v>
      </c>
      <c r="BB41" s="32">
        <v>470</v>
      </c>
      <c r="BC41" s="32">
        <v>470</v>
      </c>
      <c r="BD41" s="250">
        <v>689</v>
      </c>
      <c r="BE41" s="250">
        <v>689</v>
      </c>
      <c r="BF41" s="109" t="s">
        <v>28</v>
      </c>
      <c r="BG41" s="32" t="s">
        <v>28</v>
      </c>
      <c r="BH41" s="32" t="s">
        <v>28</v>
      </c>
      <c r="BI41" s="35">
        <v>219</v>
      </c>
      <c r="BJ41" s="35">
        <v>219</v>
      </c>
      <c r="BK41" s="35">
        <f>0+219</f>
        <v>219</v>
      </c>
      <c r="BL41" s="259">
        <v>470</v>
      </c>
      <c r="BM41" s="259">
        <v>470</v>
      </c>
      <c r="BN41" s="109" t="s">
        <v>28</v>
      </c>
      <c r="BO41" s="32" t="s">
        <v>28</v>
      </c>
      <c r="BP41" s="32" t="s">
        <v>28</v>
      </c>
      <c r="BQ41" s="32" t="s">
        <v>28</v>
      </c>
      <c r="BR41" s="32" t="s">
        <v>28</v>
      </c>
      <c r="BS41" s="32">
        <v>0</v>
      </c>
      <c r="BT41" s="250">
        <v>219</v>
      </c>
      <c r="BU41" s="250">
        <v>219</v>
      </c>
      <c r="BV41" s="31">
        <v>679</v>
      </c>
      <c r="BW41" s="82">
        <f t="shared" si="4"/>
        <v>679</v>
      </c>
      <c r="BX41" s="82">
        <f t="shared" si="5"/>
        <v>679</v>
      </c>
      <c r="BY41" s="82">
        <v>689</v>
      </c>
      <c r="BZ41" s="82">
        <v>689</v>
      </c>
      <c r="CA41" s="192">
        <v>689</v>
      </c>
      <c r="CB41" s="283">
        <v>1378</v>
      </c>
      <c r="CC41" s="284">
        <v>1378</v>
      </c>
    </row>
    <row r="42" spans="1:81">
      <c r="A42" s="138" t="s">
        <v>35</v>
      </c>
      <c r="B42" s="28" t="s">
        <v>28</v>
      </c>
      <c r="C42" s="29" t="s">
        <v>28</v>
      </c>
      <c r="D42" s="29" t="s">
        <v>28</v>
      </c>
      <c r="E42" s="29" t="s">
        <v>28</v>
      </c>
      <c r="F42" s="29" t="s">
        <v>28</v>
      </c>
      <c r="G42" s="29" t="s">
        <v>28</v>
      </c>
      <c r="H42" s="249" t="s">
        <v>28</v>
      </c>
      <c r="I42" s="249" t="s">
        <v>28</v>
      </c>
      <c r="J42" s="28">
        <v>615</v>
      </c>
      <c r="K42" s="29">
        <v>923</v>
      </c>
      <c r="L42" s="29">
        <v>719</v>
      </c>
      <c r="M42" s="29">
        <v>527</v>
      </c>
      <c r="N42" s="29">
        <v>358</v>
      </c>
      <c r="O42" s="29">
        <v>358</v>
      </c>
      <c r="P42" s="249">
        <v>734</v>
      </c>
      <c r="Q42" s="256">
        <v>948</v>
      </c>
      <c r="R42" s="29">
        <v>4200</v>
      </c>
      <c r="S42" s="29">
        <v>4403</v>
      </c>
      <c r="T42" s="29">
        <v>4260</v>
      </c>
      <c r="U42" s="29">
        <v>4262</v>
      </c>
      <c r="V42" s="29">
        <v>5366</v>
      </c>
      <c r="W42" s="29">
        <v>5366</v>
      </c>
      <c r="X42" s="249">
        <v>4887</v>
      </c>
      <c r="Y42" s="249">
        <v>5120</v>
      </c>
      <c r="Z42" s="28">
        <v>1059</v>
      </c>
      <c r="AA42" s="29">
        <v>1448</v>
      </c>
      <c r="AB42" s="29">
        <v>1795</v>
      </c>
      <c r="AC42" s="29">
        <v>1985</v>
      </c>
      <c r="AD42" s="29">
        <v>2095</v>
      </c>
      <c r="AE42" s="29">
        <v>2094</v>
      </c>
      <c r="AF42" s="249">
        <v>2365</v>
      </c>
      <c r="AG42" s="256">
        <v>2415</v>
      </c>
      <c r="AH42" s="30">
        <v>5874</v>
      </c>
      <c r="AI42" s="30">
        <f t="shared" si="0"/>
        <v>6774</v>
      </c>
      <c r="AJ42" s="30">
        <f t="shared" si="1"/>
        <v>6774</v>
      </c>
      <c r="AK42" s="30">
        <f t="shared" si="2"/>
        <v>6774</v>
      </c>
      <c r="AL42" s="30">
        <f t="shared" si="3"/>
        <v>7819</v>
      </c>
      <c r="AM42" s="30">
        <v>7818</v>
      </c>
      <c r="AN42" s="264">
        <v>7986</v>
      </c>
      <c r="AO42" s="265">
        <v>8483</v>
      </c>
      <c r="AP42" s="28">
        <v>2023</v>
      </c>
      <c r="AQ42" s="29">
        <v>1818</v>
      </c>
      <c r="AR42" s="29">
        <v>1420</v>
      </c>
      <c r="AS42" s="29">
        <v>1259</v>
      </c>
      <c r="AT42" s="29">
        <v>1076</v>
      </c>
      <c r="AU42" s="29" t="s">
        <v>28</v>
      </c>
      <c r="AV42" s="249" t="s">
        <v>28</v>
      </c>
      <c r="AW42" s="249" t="s">
        <v>28</v>
      </c>
      <c r="AX42" s="28">
        <v>1285</v>
      </c>
      <c r="AY42" s="29">
        <v>1158</v>
      </c>
      <c r="AZ42" s="29">
        <v>1069</v>
      </c>
      <c r="BA42" s="29">
        <v>947</v>
      </c>
      <c r="BB42" s="29">
        <v>838</v>
      </c>
      <c r="BC42" s="29">
        <f>20+1928</f>
        <v>1948</v>
      </c>
      <c r="BD42" s="249">
        <v>1710</v>
      </c>
      <c r="BE42" s="249">
        <v>1548</v>
      </c>
      <c r="BF42" s="28">
        <v>4968</v>
      </c>
      <c r="BG42" s="29">
        <v>5654</v>
      </c>
      <c r="BH42" s="29">
        <v>5330</v>
      </c>
      <c r="BI42" s="29">
        <v>5627</v>
      </c>
      <c r="BJ42" s="29">
        <v>5859</v>
      </c>
      <c r="BK42" s="29">
        <f>0+5652</f>
        <v>5652</v>
      </c>
      <c r="BL42" s="249">
        <v>5670</v>
      </c>
      <c r="BM42" s="249">
        <v>5772</v>
      </c>
      <c r="BN42" s="28">
        <v>91</v>
      </c>
      <c r="BO42" s="29">
        <v>109</v>
      </c>
      <c r="BP42" s="29">
        <v>138</v>
      </c>
      <c r="BQ42" s="29">
        <v>108</v>
      </c>
      <c r="BR42" s="29">
        <v>103</v>
      </c>
      <c r="BS42" s="29">
        <f>0+103</f>
        <v>103</v>
      </c>
      <c r="BT42" s="249">
        <v>164</v>
      </c>
      <c r="BU42" s="249">
        <v>223</v>
      </c>
      <c r="BV42" s="28">
        <v>8391</v>
      </c>
      <c r="BW42" s="83">
        <f t="shared" si="4"/>
        <v>8739</v>
      </c>
      <c r="BX42" s="83">
        <f t="shared" si="5"/>
        <v>7957</v>
      </c>
      <c r="BY42" s="83">
        <v>7941</v>
      </c>
      <c r="BZ42" s="83">
        <v>7876</v>
      </c>
      <c r="CA42" s="193">
        <v>7703</v>
      </c>
      <c r="CB42" s="236">
        <v>7544</v>
      </c>
      <c r="CC42" s="282">
        <v>7543</v>
      </c>
    </row>
    <row r="43" spans="1:81" s="5" customFormat="1">
      <c r="A43" s="138" t="s">
        <v>57</v>
      </c>
      <c r="B43" s="31" t="s">
        <v>28</v>
      </c>
      <c r="C43" s="32" t="s">
        <v>28</v>
      </c>
      <c r="D43" s="32" t="s">
        <v>28</v>
      </c>
      <c r="E43" s="32" t="s">
        <v>28</v>
      </c>
      <c r="F43" s="32" t="s">
        <v>28</v>
      </c>
      <c r="G43" s="32" t="s">
        <v>28</v>
      </c>
      <c r="H43" s="250" t="s">
        <v>28</v>
      </c>
      <c r="I43" s="250" t="s">
        <v>28</v>
      </c>
      <c r="J43" s="31">
        <v>1600</v>
      </c>
      <c r="K43" s="32">
        <v>1638</v>
      </c>
      <c r="L43" s="32">
        <v>1437</v>
      </c>
      <c r="M43" s="32">
        <v>1409</v>
      </c>
      <c r="N43" s="32">
        <v>1564</v>
      </c>
      <c r="O43" s="32">
        <v>1564</v>
      </c>
      <c r="P43" s="250">
        <v>1556</v>
      </c>
      <c r="Q43" s="257">
        <v>2088</v>
      </c>
      <c r="R43" s="32">
        <v>379</v>
      </c>
      <c r="S43" s="32">
        <v>397</v>
      </c>
      <c r="T43" s="32">
        <v>598</v>
      </c>
      <c r="U43" s="32">
        <v>623</v>
      </c>
      <c r="V43" s="32">
        <v>464</v>
      </c>
      <c r="W43" s="32">
        <v>464</v>
      </c>
      <c r="X43" s="250">
        <v>687</v>
      </c>
      <c r="Y43" s="250">
        <v>714</v>
      </c>
      <c r="Z43" s="31">
        <v>12</v>
      </c>
      <c r="AA43" s="32">
        <v>7</v>
      </c>
      <c r="AB43" s="32">
        <v>7</v>
      </c>
      <c r="AC43" s="32">
        <v>10</v>
      </c>
      <c r="AD43" s="32">
        <v>14</v>
      </c>
      <c r="AE43" s="32">
        <v>14</v>
      </c>
      <c r="AF43" s="250">
        <v>39</v>
      </c>
      <c r="AG43" s="257">
        <v>40</v>
      </c>
      <c r="AH43" s="33">
        <v>1991</v>
      </c>
      <c r="AI43" s="33">
        <f t="shared" si="0"/>
        <v>2042</v>
      </c>
      <c r="AJ43" s="33">
        <f t="shared" si="1"/>
        <v>2042</v>
      </c>
      <c r="AK43" s="33">
        <f t="shared" si="2"/>
        <v>2042</v>
      </c>
      <c r="AL43" s="33">
        <f t="shared" si="3"/>
        <v>2042</v>
      </c>
      <c r="AM43" s="33">
        <v>2042</v>
      </c>
      <c r="AN43" s="266">
        <v>2282</v>
      </c>
      <c r="AO43" s="267">
        <v>2842</v>
      </c>
      <c r="AP43" s="31">
        <v>552</v>
      </c>
      <c r="AQ43" s="32">
        <v>518</v>
      </c>
      <c r="AR43" s="32">
        <v>508</v>
      </c>
      <c r="AS43" s="32">
        <v>1335</v>
      </c>
      <c r="AT43" s="32">
        <v>1316</v>
      </c>
      <c r="AU43" s="32" t="s">
        <v>28</v>
      </c>
      <c r="AV43" s="250" t="s">
        <v>28</v>
      </c>
      <c r="AW43" s="250" t="s">
        <v>28</v>
      </c>
      <c r="AX43" s="31">
        <v>860</v>
      </c>
      <c r="AY43" s="32">
        <v>938</v>
      </c>
      <c r="AZ43" s="32">
        <v>952</v>
      </c>
      <c r="BA43" s="32">
        <v>2094</v>
      </c>
      <c r="BB43" s="32">
        <v>2106</v>
      </c>
      <c r="BC43" s="32">
        <f>30+3422</f>
        <v>3452</v>
      </c>
      <c r="BD43" s="250">
        <v>3431</v>
      </c>
      <c r="BE43" s="250">
        <v>3406</v>
      </c>
      <c r="BF43" s="31">
        <v>107</v>
      </c>
      <c r="BG43" s="32">
        <v>107</v>
      </c>
      <c r="BH43" s="32">
        <v>107</v>
      </c>
      <c r="BI43" s="32">
        <v>324</v>
      </c>
      <c r="BJ43" s="32">
        <v>323</v>
      </c>
      <c r="BK43" s="32">
        <f>0+323</f>
        <v>323</v>
      </c>
      <c r="BL43" s="250">
        <v>323</v>
      </c>
      <c r="BM43" s="250">
        <v>299</v>
      </c>
      <c r="BN43" s="109" t="s">
        <v>28</v>
      </c>
      <c r="BO43" s="32" t="s">
        <v>28</v>
      </c>
      <c r="BP43" s="32" t="s">
        <v>28</v>
      </c>
      <c r="BQ43" s="35">
        <v>10</v>
      </c>
      <c r="BR43" s="35">
        <v>13</v>
      </c>
      <c r="BS43" s="35">
        <f>0+13</f>
        <v>13</v>
      </c>
      <c r="BT43" s="259">
        <v>13</v>
      </c>
      <c r="BU43" s="259">
        <v>25</v>
      </c>
      <c r="BV43" s="31">
        <v>1538</v>
      </c>
      <c r="BW43" s="82">
        <f t="shared" si="4"/>
        <v>1563</v>
      </c>
      <c r="BX43" s="82">
        <f t="shared" si="5"/>
        <v>1567</v>
      </c>
      <c r="BY43" s="82">
        <v>3763</v>
      </c>
      <c r="BZ43" s="82">
        <v>3758</v>
      </c>
      <c r="CA43" s="192">
        <v>3788</v>
      </c>
      <c r="CB43" s="283">
        <v>3767</v>
      </c>
      <c r="CC43" s="284">
        <v>3730</v>
      </c>
    </row>
    <row r="44" spans="1:81">
      <c r="A44" s="138" t="s">
        <v>51</v>
      </c>
      <c r="B44" s="28" t="s">
        <v>28</v>
      </c>
      <c r="C44" s="29" t="s">
        <v>28</v>
      </c>
      <c r="D44" s="29" t="s">
        <v>28</v>
      </c>
      <c r="E44" s="29" t="s">
        <v>28</v>
      </c>
      <c r="F44" s="29" t="s">
        <v>28</v>
      </c>
      <c r="G44" s="29" t="s">
        <v>28</v>
      </c>
      <c r="H44" s="249" t="s">
        <v>28</v>
      </c>
      <c r="I44" s="249" t="s">
        <v>28</v>
      </c>
      <c r="J44" s="28">
        <v>808</v>
      </c>
      <c r="K44" s="29">
        <v>814</v>
      </c>
      <c r="L44" s="29">
        <v>678</v>
      </c>
      <c r="M44" s="29">
        <v>659</v>
      </c>
      <c r="N44" s="29">
        <v>478</v>
      </c>
      <c r="O44" s="29">
        <v>478</v>
      </c>
      <c r="P44" s="249">
        <v>663</v>
      </c>
      <c r="Q44" s="256">
        <v>554</v>
      </c>
      <c r="R44" s="29">
        <v>1255</v>
      </c>
      <c r="S44" s="29">
        <v>1258</v>
      </c>
      <c r="T44" s="29">
        <v>1362</v>
      </c>
      <c r="U44" s="29">
        <v>1365</v>
      </c>
      <c r="V44" s="29">
        <v>1593</v>
      </c>
      <c r="W44" s="29">
        <v>1593</v>
      </c>
      <c r="X44" s="249">
        <v>1602</v>
      </c>
      <c r="Y44" s="249">
        <v>1672</v>
      </c>
      <c r="Z44" s="28">
        <v>461</v>
      </c>
      <c r="AA44" s="29">
        <v>506</v>
      </c>
      <c r="AB44" s="29">
        <v>538</v>
      </c>
      <c r="AC44" s="29">
        <v>554</v>
      </c>
      <c r="AD44" s="29">
        <v>610</v>
      </c>
      <c r="AE44" s="29">
        <v>610</v>
      </c>
      <c r="AF44" s="249">
        <v>644</v>
      </c>
      <c r="AG44" s="256">
        <v>684</v>
      </c>
      <c r="AH44" s="30">
        <v>2524</v>
      </c>
      <c r="AI44" s="30">
        <f t="shared" si="0"/>
        <v>2578</v>
      </c>
      <c r="AJ44" s="30">
        <f t="shared" si="1"/>
        <v>2578</v>
      </c>
      <c r="AK44" s="30">
        <f t="shared" si="2"/>
        <v>2578</v>
      </c>
      <c r="AL44" s="30">
        <f t="shared" si="3"/>
        <v>2681</v>
      </c>
      <c r="AM44" s="30">
        <v>2681</v>
      </c>
      <c r="AN44" s="264">
        <v>2908</v>
      </c>
      <c r="AO44" s="265">
        <v>2910</v>
      </c>
      <c r="AP44" s="28">
        <v>326</v>
      </c>
      <c r="AQ44" s="29">
        <v>580</v>
      </c>
      <c r="AR44" s="29">
        <v>505</v>
      </c>
      <c r="AS44" s="29">
        <v>429</v>
      </c>
      <c r="AT44" s="29">
        <v>429</v>
      </c>
      <c r="AU44" s="29" t="s">
        <v>28</v>
      </c>
      <c r="AV44" s="249" t="s">
        <v>28</v>
      </c>
      <c r="AW44" s="249" t="s">
        <v>28</v>
      </c>
      <c r="AX44" s="28">
        <v>1087</v>
      </c>
      <c r="AY44" s="29">
        <v>3172</v>
      </c>
      <c r="AZ44" s="29">
        <v>3121</v>
      </c>
      <c r="BA44" s="29">
        <v>3009</v>
      </c>
      <c r="BB44" s="29">
        <v>3009</v>
      </c>
      <c r="BC44" s="29">
        <f>0+3952</f>
        <v>3952</v>
      </c>
      <c r="BD44" s="249">
        <v>1865</v>
      </c>
      <c r="BE44" s="249">
        <v>1741</v>
      </c>
      <c r="BF44" s="28">
        <v>253</v>
      </c>
      <c r="BG44" s="29">
        <v>684</v>
      </c>
      <c r="BH44" s="29">
        <v>810</v>
      </c>
      <c r="BI44" s="29">
        <v>998</v>
      </c>
      <c r="BJ44" s="29">
        <v>998</v>
      </c>
      <c r="BK44" s="29">
        <f>0+0</f>
        <v>0</v>
      </c>
      <c r="BL44" s="249">
        <v>1987</v>
      </c>
      <c r="BM44" s="249">
        <v>1915</v>
      </c>
      <c r="BN44" s="28">
        <v>16</v>
      </c>
      <c r="BO44" s="29">
        <v>69</v>
      </c>
      <c r="BP44" s="29">
        <v>69</v>
      </c>
      <c r="BQ44" s="29">
        <v>69</v>
      </c>
      <c r="BR44" s="29">
        <v>69</v>
      </c>
      <c r="BS44" s="29">
        <v>0</v>
      </c>
      <c r="BT44" s="249">
        <v>41</v>
      </c>
      <c r="BU44" s="249">
        <v>41</v>
      </c>
      <c r="BV44" s="28">
        <v>1682</v>
      </c>
      <c r="BW44" s="83">
        <f t="shared" si="4"/>
        <v>4505</v>
      </c>
      <c r="BX44" s="83">
        <f t="shared" si="5"/>
        <v>4505</v>
      </c>
      <c r="BY44" s="83">
        <v>4505</v>
      </c>
      <c r="BZ44" s="83">
        <v>4505</v>
      </c>
      <c r="CA44" s="193">
        <v>3952</v>
      </c>
      <c r="CB44" s="236">
        <v>3893</v>
      </c>
      <c r="CC44" s="282">
        <v>3697</v>
      </c>
    </row>
    <row r="45" spans="1:81" s="5" customFormat="1">
      <c r="A45" s="139"/>
      <c r="B45" s="36"/>
      <c r="C45" s="37"/>
      <c r="D45" s="37"/>
      <c r="E45" s="37"/>
      <c r="F45" s="37"/>
      <c r="G45" s="37"/>
      <c r="H45" s="251"/>
      <c r="I45" s="251"/>
      <c r="J45" s="36"/>
      <c r="K45" s="37"/>
      <c r="L45" s="37"/>
      <c r="M45" s="37"/>
      <c r="N45" s="37"/>
      <c r="O45" s="37"/>
      <c r="P45" s="251"/>
      <c r="Q45" s="258"/>
      <c r="R45" s="37"/>
      <c r="S45" s="37"/>
      <c r="T45" s="37"/>
      <c r="U45" s="37"/>
      <c r="V45" s="37"/>
      <c r="W45" s="37"/>
      <c r="X45" s="251"/>
      <c r="Y45" s="251"/>
      <c r="Z45" s="36"/>
      <c r="AA45" s="37"/>
      <c r="AB45" s="37"/>
      <c r="AC45" s="37"/>
      <c r="AD45" s="37"/>
      <c r="AE45" s="37"/>
      <c r="AF45" s="251"/>
      <c r="AG45" s="258"/>
      <c r="AH45" s="33"/>
      <c r="AI45" s="33"/>
      <c r="AJ45" s="33"/>
      <c r="AK45" s="33"/>
      <c r="AL45" s="33"/>
      <c r="AM45" s="33"/>
      <c r="AN45" s="266"/>
      <c r="AO45" s="267"/>
      <c r="AP45" s="36"/>
      <c r="AQ45" s="37"/>
      <c r="AR45" s="37"/>
      <c r="AS45" s="37"/>
      <c r="AT45" s="37"/>
      <c r="AU45" s="37"/>
      <c r="AV45" s="251"/>
      <c r="AW45" s="251"/>
      <c r="AX45" s="36"/>
      <c r="AY45" s="37"/>
      <c r="AZ45" s="37"/>
      <c r="BA45" s="37"/>
      <c r="BB45" s="37"/>
      <c r="BC45" s="37"/>
      <c r="BD45" s="251"/>
      <c r="BE45" s="251"/>
      <c r="BF45" s="36"/>
      <c r="BG45" s="37"/>
      <c r="BH45" s="37"/>
      <c r="BI45" s="37"/>
      <c r="BJ45" s="37"/>
      <c r="BK45" s="37"/>
      <c r="BL45" s="251"/>
      <c r="BM45" s="251"/>
      <c r="BN45" s="36"/>
      <c r="BO45" s="37"/>
      <c r="BP45" s="37"/>
      <c r="BQ45" s="37"/>
      <c r="BR45" s="37"/>
      <c r="BS45" s="37"/>
      <c r="BT45" s="251"/>
      <c r="BU45" s="251"/>
      <c r="BV45" s="31"/>
      <c r="BW45" s="82"/>
      <c r="BX45" s="82"/>
      <c r="BY45" s="82"/>
      <c r="BZ45" s="82"/>
      <c r="CA45" s="192"/>
      <c r="CB45" s="283"/>
      <c r="CC45" s="284"/>
    </row>
    <row r="46" spans="1:81">
      <c r="A46" s="136" t="s">
        <v>36</v>
      </c>
      <c r="B46" s="28"/>
      <c r="C46" s="29"/>
      <c r="D46" s="29"/>
      <c r="E46" s="29"/>
      <c r="F46" s="29"/>
      <c r="G46" s="29"/>
      <c r="H46" s="249"/>
      <c r="I46" s="249"/>
      <c r="J46" s="28"/>
      <c r="K46" s="29"/>
      <c r="L46" s="29"/>
      <c r="M46" s="29"/>
      <c r="N46" s="29"/>
      <c r="O46" s="29"/>
      <c r="P46" s="249"/>
      <c r="Q46" s="256"/>
      <c r="R46" s="29"/>
      <c r="S46" s="29"/>
      <c r="T46" s="29"/>
      <c r="U46" s="29"/>
      <c r="V46" s="29"/>
      <c r="W46" s="29"/>
      <c r="X46" s="249"/>
      <c r="Y46" s="249"/>
      <c r="Z46" s="28"/>
      <c r="AA46" s="29"/>
      <c r="AB46" s="29"/>
      <c r="AC46" s="29"/>
      <c r="AD46" s="29"/>
      <c r="AE46" s="29"/>
      <c r="AF46" s="249"/>
      <c r="AG46" s="256"/>
      <c r="AH46" s="30"/>
      <c r="AI46" s="30"/>
      <c r="AJ46" s="30"/>
      <c r="AK46" s="30"/>
      <c r="AL46" s="30"/>
      <c r="AM46" s="30"/>
      <c r="AN46" s="264"/>
      <c r="AO46" s="265"/>
      <c r="AP46" s="28"/>
      <c r="AQ46" s="29"/>
      <c r="AR46" s="29"/>
      <c r="AS46" s="29"/>
      <c r="AT46" s="29"/>
      <c r="AU46" s="29"/>
      <c r="AV46" s="249"/>
      <c r="AW46" s="249"/>
      <c r="AX46" s="28"/>
      <c r="AY46" s="29"/>
      <c r="AZ46" s="29"/>
      <c r="BA46" s="29"/>
      <c r="BB46" s="29"/>
      <c r="BC46" s="29"/>
      <c r="BD46" s="249"/>
      <c r="BE46" s="249"/>
      <c r="BF46" s="112"/>
      <c r="BG46" s="41"/>
      <c r="BH46" s="41"/>
      <c r="BI46" s="41"/>
      <c r="BJ46" s="41"/>
      <c r="BK46" s="41"/>
      <c r="BL46" s="277"/>
      <c r="BM46" s="277"/>
      <c r="BN46" s="28"/>
      <c r="BO46" s="29"/>
      <c r="BP46" s="29"/>
      <c r="BQ46" s="29"/>
      <c r="BR46" s="29"/>
      <c r="BS46" s="29"/>
      <c r="BT46" s="249"/>
      <c r="BU46" s="249"/>
      <c r="BV46" s="28"/>
      <c r="BW46" s="83"/>
      <c r="BX46" s="83"/>
      <c r="BY46" s="83"/>
      <c r="BZ46" s="83"/>
      <c r="CA46" s="193"/>
      <c r="CB46" s="236"/>
      <c r="CC46" s="282"/>
    </row>
    <row r="47" spans="1:81" s="5" customFormat="1">
      <c r="A47" s="138" t="s">
        <v>37</v>
      </c>
      <c r="B47" s="31" t="s">
        <v>28</v>
      </c>
      <c r="C47" s="32" t="s">
        <v>28</v>
      </c>
      <c r="D47" s="32" t="s">
        <v>28</v>
      </c>
      <c r="E47" s="32" t="s">
        <v>28</v>
      </c>
      <c r="F47" s="32" t="s">
        <v>28</v>
      </c>
      <c r="G47" s="32" t="s">
        <v>28</v>
      </c>
      <c r="H47" s="250" t="s">
        <v>28</v>
      </c>
      <c r="I47" s="250" t="s">
        <v>28</v>
      </c>
      <c r="J47" s="31">
        <v>300</v>
      </c>
      <c r="K47" s="32">
        <v>300</v>
      </c>
      <c r="L47" s="32">
        <v>300</v>
      </c>
      <c r="M47" s="32">
        <v>300</v>
      </c>
      <c r="N47" s="32">
        <v>300</v>
      </c>
      <c r="O47" s="32">
        <v>300</v>
      </c>
      <c r="P47" s="250">
        <v>289</v>
      </c>
      <c r="Q47" s="257">
        <v>320</v>
      </c>
      <c r="R47" s="35" t="s">
        <v>28</v>
      </c>
      <c r="S47" s="32" t="s">
        <v>28</v>
      </c>
      <c r="T47" s="32" t="s">
        <v>28</v>
      </c>
      <c r="U47" s="32" t="s">
        <v>28</v>
      </c>
      <c r="V47" s="32" t="s">
        <v>28</v>
      </c>
      <c r="W47" s="32">
        <v>0</v>
      </c>
      <c r="X47" s="250">
        <v>11</v>
      </c>
      <c r="Y47" s="250">
        <v>11</v>
      </c>
      <c r="Z47" s="109" t="s">
        <v>28</v>
      </c>
      <c r="AA47" s="32" t="s">
        <v>28</v>
      </c>
      <c r="AB47" s="32" t="s">
        <v>28</v>
      </c>
      <c r="AC47" s="32" t="s">
        <v>28</v>
      </c>
      <c r="AD47" s="32" t="s">
        <v>28</v>
      </c>
      <c r="AE47" s="32">
        <v>0</v>
      </c>
      <c r="AF47" s="250">
        <v>0</v>
      </c>
      <c r="AG47" s="257">
        <v>0</v>
      </c>
      <c r="AH47" s="33">
        <v>300</v>
      </c>
      <c r="AI47" s="33">
        <f t="shared" ref="AI47:AK53" si="6">SUM(C47,K47,S47,AA47)</f>
        <v>300</v>
      </c>
      <c r="AJ47" s="33">
        <f t="shared" si="6"/>
        <v>300</v>
      </c>
      <c r="AK47" s="33">
        <f t="shared" si="6"/>
        <v>300</v>
      </c>
      <c r="AL47" s="33">
        <f t="shared" ref="AL47:AL53" si="7">F47+N47+V47+AD47</f>
        <v>300</v>
      </c>
      <c r="AM47" s="33">
        <v>300</v>
      </c>
      <c r="AN47" s="266">
        <v>300</v>
      </c>
      <c r="AO47" s="267">
        <v>331</v>
      </c>
      <c r="AP47" s="31">
        <v>22</v>
      </c>
      <c r="AQ47" s="32">
        <v>22</v>
      </c>
      <c r="AR47" s="32">
        <v>22</v>
      </c>
      <c r="AS47" s="32">
        <v>137</v>
      </c>
      <c r="AT47" s="32">
        <v>138</v>
      </c>
      <c r="AU47" s="32" t="s">
        <v>28</v>
      </c>
      <c r="AV47" s="250" t="s">
        <v>28</v>
      </c>
      <c r="AW47" s="250" t="s">
        <v>28</v>
      </c>
      <c r="AX47" s="31">
        <v>120</v>
      </c>
      <c r="AY47" s="32">
        <v>120</v>
      </c>
      <c r="AZ47" s="32">
        <v>120</v>
      </c>
      <c r="BA47" s="32">
        <v>88</v>
      </c>
      <c r="BB47" s="32">
        <v>108</v>
      </c>
      <c r="BC47" s="32">
        <f>0+264</f>
        <v>264</v>
      </c>
      <c r="BD47" s="250">
        <v>279</v>
      </c>
      <c r="BE47" s="250">
        <v>279</v>
      </c>
      <c r="BF47" s="109" t="s">
        <v>28</v>
      </c>
      <c r="BG47" s="32" t="s">
        <v>28</v>
      </c>
      <c r="BH47" s="32" t="s">
        <v>28</v>
      </c>
      <c r="BI47" s="32" t="s">
        <v>28</v>
      </c>
      <c r="BJ47" s="32" t="s">
        <v>28</v>
      </c>
      <c r="BK47" s="32">
        <f>0+0</f>
        <v>0</v>
      </c>
      <c r="BL47" s="250">
        <v>0</v>
      </c>
      <c r="BM47" s="250">
        <v>0</v>
      </c>
      <c r="BN47" s="109" t="s">
        <v>28</v>
      </c>
      <c r="BO47" s="32" t="s">
        <v>28</v>
      </c>
      <c r="BP47" s="32" t="s">
        <v>28</v>
      </c>
      <c r="BQ47" s="32" t="s">
        <v>28</v>
      </c>
      <c r="BR47" s="32" t="s">
        <v>28</v>
      </c>
      <c r="BS47" s="32">
        <v>0</v>
      </c>
      <c r="BT47" s="250">
        <v>0</v>
      </c>
      <c r="BU47" s="250">
        <v>0</v>
      </c>
      <c r="BV47" s="31">
        <v>142</v>
      </c>
      <c r="BW47" s="82">
        <f t="shared" ref="BW47:BX53" si="8">SUM(AQ47,AY47,BG47,BO47)</f>
        <v>142</v>
      </c>
      <c r="BX47" s="82">
        <f t="shared" si="8"/>
        <v>142</v>
      </c>
      <c r="BY47" s="82">
        <v>225</v>
      </c>
      <c r="BZ47" s="82">
        <v>246</v>
      </c>
      <c r="CA47" s="192">
        <v>264</v>
      </c>
      <c r="CB47" s="283">
        <v>279</v>
      </c>
      <c r="CC47" s="284">
        <v>279</v>
      </c>
    </row>
    <row r="48" spans="1:81">
      <c r="A48" s="138" t="s">
        <v>38</v>
      </c>
      <c r="B48" s="28" t="s">
        <v>28</v>
      </c>
      <c r="C48" s="29" t="s">
        <v>28</v>
      </c>
      <c r="D48" s="29" t="s">
        <v>28</v>
      </c>
      <c r="E48" s="29" t="s">
        <v>28</v>
      </c>
      <c r="F48" s="29" t="s">
        <v>28</v>
      </c>
      <c r="G48" s="29" t="s">
        <v>28</v>
      </c>
      <c r="H48" s="249" t="s">
        <v>28</v>
      </c>
      <c r="I48" s="249" t="s">
        <v>28</v>
      </c>
      <c r="J48" s="110" t="s">
        <v>28</v>
      </c>
      <c r="K48" s="29" t="s">
        <v>28</v>
      </c>
      <c r="L48" s="29" t="s">
        <v>28</v>
      </c>
      <c r="M48" s="29" t="s">
        <v>28</v>
      </c>
      <c r="N48" s="29" t="s">
        <v>28</v>
      </c>
      <c r="O48" s="29">
        <v>0</v>
      </c>
      <c r="P48" s="249">
        <v>9</v>
      </c>
      <c r="Q48" s="256">
        <v>0</v>
      </c>
      <c r="R48" s="34" t="s">
        <v>28</v>
      </c>
      <c r="S48" s="29" t="s">
        <v>28</v>
      </c>
      <c r="T48" s="29" t="s">
        <v>28</v>
      </c>
      <c r="U48" s="29" t="s">
        <v>28</v>
      </c>
      <c r="V48" s="29" t="s">
        <v>28</v>
      </c>
      <c r="W48" s="29">
        <v>0</v>
      </c>
      <c r="X48" s="249">
        <v>0</v>
      </c>
      <c r="Y48" s="249">
        <v>0</v>
      </c>
      <c r="Z48" s="28">
        <v>24</v>
      </c>
      <c r="AA48" s="29">
        <v>24</v>
      </c>
      <c r="AB48" s="29">
        <v>24</v>
      </c>
      <c r="AC48" s="29">
        <v>24</v>
      </c>
      <c r="AD48" s="29">
        <v>24</v>
      </c>
      <c r="AE48" s="29">
        <v>24</v>
      </c>
      <c r="AF48" s="249">
        <v>15</v>
      </c>
      <c r="AG48" s="256">
        <v>15</v>
      </c>
      <c r="AH48" s="30">
        <v>24</v>
      </c>
      <c r="AI48" s="30">
        <f t="shared" si="6"/>
        <v>24</v>
      </c>
      <c r="AJ48" s="30">
        <f t="shared" si="6"/>
        <v>24</v>
      </c>
      <c r="AK48" s="30">
        <f t="shared" si="6"/>
        <v>24</v>
      </c>
      <c r="AL48" s="30">
        <f t="shared" si="7"/>
        <v>24</v>
      </c>
      <c r="AM48" s="30">
        <v>24</v>
      </c>
      <c r="AN48" s="264">
        <v>24</v>
      </c>
      <c r="AO48" s="265">
        <v>15</v>
      </c>
      <c r="AP48" s="110" t="s">
        <v>28</v>
      </c>
      <c r="AQ48" s="29" t="s">
        <v>28</v>
      </c>
      <c r="AR48" s="29" t="s">
        <v>28</v>
      </c>
      <c r="AS48" s="29" t="s">
        <v>28</v>
      </c>
      <c r="AT48" s="29" t="s">
        <v>28</v>
      </c>
      <c r="AU48" s="29" t="s">
        <v>28</v>
      </c>
      <c r="AV48" s="249" t="s">
        <v>28</v>
      </c>
      <c r="AW48" s="249" t="s">
        <v>28</v>
      </c>
      <c r="AX48" s="110" t="s">
        <v>28</v>
      </c>
      <c r="AY48" s="29" t="s">
        <v>28</v>
      </c>
      <c r="AZ48" s="29" t="s">
        <v>28</v>
      </c>
      <c r="BA48" s="29" t="s">
        <v>28</v>
      </c>
      <c r="BB48" s="29" t="s">
        <v>28</v>
      </c>
      <c r="BC48" s="29">
        <v>0</v>
      </c>
      <c r="BD48" s="249">
        <v>44</v>
      </c>
      <c r="BE48" s="249">
        <v>47</v>
      </c>
      <c r="BF48" s="110" t="s">
        <v>28</v>
      </c>
      <c r="BG48" s="29" t="s">
        <v>28</v>
      </c>
      <c r="BH48" s="29" t="s">
        <v>28</v>
      </c>
      <c r="BI48" s="29" t="s">
        <v>28</v>
      </c>
      <c r="BJ48" s="29" t="s">
        <v>28</v>
      </c>
      <c r="BK48" s="29">
        <f>0+0</f>
        <v>0</v>
      </c>
      <c r="BL48" s="249">
        <v>52</v>
      </c>
      <c r="BM48" s="249">
        <v>52</v>
      </c>
      <c r="BN48" s="110" t="s">
        <v>28</v>
      </c>
      <c r="BO48" s="29" t="s">
        <v>28</v>
      </c>
      <c r="BP48" s="29" t="s">
        <v>28</v>
      </c>
      <c r="BQ48" s="29" t="s">
        <v>28</v>
      </c>
      <c r="BR48" s="29" t="s">
        <v>28</v>
      </c>
      <c r="BS48" s="29">
        <f>2+156</f>
        <v>158</v>
      </c>
      <c r="BT48" s="249">
        <v>85</v>
      </c>
      <c r="BU48" s="249">
        <v>85</v>
      </c>
      <c r="BV48" s="110">
        <v>0</v>
      </c>
      <c r="BW48" s="83">
        <f t="shared" si="8"/>
        <v>0</v>
      </c>
      <c r="BX48" s="83">
        <f t="shared" si="8"/>
        <v>0</v>
      </c>
      <c r="BY48" s="83">
        <v>0</v>
      </c>
      <c r="BZ48" s="83">
        <v>0</v>
      </c>
      <c r="CA48" s="193">
        <v>158</v>
      </c>
      <c r="CB48" s="236">
        <v>181</v>
      </c>
      <c r="CC48" s="282">
        <v>184</v>
      </c>
    </row>
    <row r="49" spans="1:81" s="5" customFormat="1">
      <c r="A49" s="138" t="s">
        <v>39</v>
      </c>
      <c r="B49" s="31" t="s">
        <v>28</v>
      </c>
      <c r="C49" s="32" t="s">
        <v>28</v>
      </c>
      <c r="D49" s="32" t="s">
        <v>28</v>
      </c>
      <c r="E49" s="32" t="s">
        <v>28</v>
      </c>
      <c r="F49" s="32" t="s">
        <v>28</v>
      </c>
      <c r="G49" s="32" t="s">
        <v>28</v>
      </c>
      <c r="H49" s="250" t="s">
        <v>28</v>
      </c>
      <c r="I49" s="250" t="s">
        <v>28</v>
      </c>
      <c r="J49" s="109" t="s">
        <v>28</v>
      </c>
      <c r="K49" s="32" t="s">
        <v>28</v>
      </c>
      <c r="L49" s="32" t="s">
        <v>28</v>
      </c>
      <c r="M49" s="32" t="s">
        <v>28</v>
      </c>
      <c r="N49" s="32" t="s">
        <v>28</v>
      </c>
      <c r="O49" s="35" t="s">
        <v>28</v>
      </c>
      <c r="P49" s="259">
        <v>31</v>
      </c>
      <c r="Q49" s="260">
        <v>31</v>
      </c>
      <c r="R49" s="35" t="s">
        <v>28</v>
      </c>
      <c r="S49" s="32" t="s">
        <v>28</v>
      </c>
      <c r="T49" s="32" t="s">
        <v>28</v>
      </c>
      <c r="U49" s="32" t="s">
        <v>28</v>
      </c>
      <c r="V49" s="32" t="s">
        <v>28</v>
      </c>
      <c r="W49" s="35" t="s">
        <v>28</v>
      </c>
      <c r="X49" s="259">
        <v>0</v>
      </c>
      <c r="Y49" s="259">
        <v>0</v>
      </c>
      <c r="Z49" s="109" t="s">
        <v>28</v>
      </c>
      <c r="AA49" s="32" t="s">
        <v>28</v>
      </c>
      <c r="AB49" s="32" t="s">
        <v>28</v>
      </c>
      <c r="AC49" s="32" t="s">
        <v>28</v>
      </c>
      <c r="AD49" s="32" t="s">
        <v>28</v>
      </c>
      <c r="AE49" s="35" t="s">
        <v>28</v>
      </c>
      <c r="AF49" s="259">
        <v>0</v>
      </c>
      <c r="AG49" s="260">
        <v>0</v>
      </c>
      <c r="AH49" s="33">
        <v>0</v>
      </c>
      <c r="AI49" s="33">
        <f t="shared" si="6"/>
        <v>0</v>
      </c>
      <c r="AJ49" s="33">
        <f t="shared" si="6"/>
        <v>0</v>
      </c>
      <c r="AK49" s="33">
        <f t="shared" si="6"/>
        <v>0</v>
      </c>
      <c r="AL49" s="33">
        <f t="shared" si="7"/>
        <v>0</v>
      </c>
      <c r="AM49" s="107" t="s">
        <v>28</v>
      </c>
      <c r="AN49" s="269">
        <v>31</v>
      </c>
      <c r="AO49" s="270">
        <v>31</v>
      </c>
      <c r="AP49" s="109" t="s">
        <v>28</v>
      </c>
      <c r="AQ49" s="32" t="s">
        <v>28</v>
      </c>
      <c r="AR49" s="32" t="s">
        <v>28</v>
      </c>
      <c r="AS49" s="32" t="s">
        <v>28</v>
      </c>
      <c r="AT49" s="32" t="s">
        <v>28</v>
      </c>
      <c r="AU49" s="32" t="s">
        <v>28</v>
      </c>
      <c r="AV49" s="250" t="s">
        <v>28</v>
      </c>
      <c r="AW49" s="250" t="s">
        <v>28</v>
      </c>
      <c r="AX49" s="109" t="s">
        <v>28</v>
      </c>
      <c r="AY49" s="32" t="s">
        <v>28</v>
      </c>
      <c r="AZ49" s="32" t="s">
        <v>28</v>
      </c>
      <c r="BA49" s="32" t="s">
        <v>28</v>
      </c>
      <c r="BB49" s="32" t="s">
        <v>28</v>
      </c>
      <c r="BC49" s="32">
        <v>0</v>
      </c>
      <c r="BD49" s="250">
        <v>0</v>
      </c>
      <c r="BE49" s="250">
        <v>0</v>
      </c>
      <c r="BF49" s="31">
        <v>34</v>
      </c>
      <c r="BG49" s="32">
        <v>23</v>
      </c>
      <c r="BH49" s="32">
        <v>21</v>
      </c>
      <c r="BI49" s="32">
        <v>21</v>
      </c>
      <c r="BJ49" s="32">
        <v>21</v>
      </c>
      <c r="BK49" s="32">
        <f>0+21</f>
        <v>21</v>
      </c>
      <c r="BL49" s="250">
        <v>21</v>
      </c>
      <c r="BM49" s="250">
        <v>21</v>
      </c>
      <c r="BN49" s="31">
        <v>8</v>
      </c>
      <c r="BO49" s="32">
        <v>19</v>
      </c>
      <c r="BP49" s="32">
        <v>21</v>
      </c>
      <c r="BQ49" s="32">
        <v>21</v>
      </c>
      <c r="BR49" s="32">
        <v>21</v>
      </c>
      <c r="BS49" s="32">
        <f>0+21</f>
        <v>21</v>
      </c>
      <c r="BT49" s="250">
        <v>21</v>
      </c>
      <c r="BU49" s="250">
        <v>21</v>
      </c>
      <c r="BV49" s="31">
        <v>42</v>
      </c>
      <c r="BW49" s="82">
        <f t="shared" si="8"/>
        <v>42</v>
      </c>
      <c r="BX49" s="82">
        <f t="shared" si="8"/>
        <v>42</v>
      </c>
      <c r="BY49" s="82">
        <v>42</v>
      </c>
      <c r="BZ49" s="82">
        <v>42</v>
      </c>
      <c r="CA49" s="192">
        <v>42</v>
      </c>
      <c r="CB49" s="283">
        <v>42</v>
      </c>
      <c r="CC49" s="284">
        <v>42</v>
      </c>
    </row>
    <row r="50" spans="1:81">
      <c r="A50" s="138" t="s">
        <v>40</v>
      </c>
      <c r="B50" s="28" t="s">
        <v>28</v>
      </c>
      <c r="C50" s="29" t="s">
        <v>28</v>
      </c>
      <c r="D50" s="29" t="s">
        <v>28</v>
      </c>
      <c r="E50" s="29" t="s">
        <v>28</v>
      </c>
      <c r="F50" s="29" t="s">
        <v>28</v>
      </c>
      <c r="G50" s="29" t="s">
        <v>28</v>
      </c>
      <c r="H50" s="249" t="s">
        <v>28</v>
      </c>
      <c r="I50" s="249" t="s">
        <v>28</v>
      </c>
      <c r="J50" s="110" t="s">
        <v>28</v>
      </c>
      <c r="K50" s="29" t="s">
        <v>28</v>
      </c>
      <c r="L50" s="29" t="s">
        <v>28</v>
      </c>
      <c r="M50" s="29" t="s">
        <v>28</v>
      </c>
      <c r="N50" s="29" t="s">
        <v>28</v>
      </c>
      <c r="O50" s="34" t="s">
        <v>28</v>
      </c>
      <c r="P50" s="261">
        <v>22</v>
      </c>
      <c r="Q50" s="262">
        <v>22</v>
      </c>
      <c r="R50" s="34" t="s">
        <v>28</v>
      </c>
      <c r="S50" s="29" t="s">
        <v>28</v>
      </c>
      <c r="T50" s="29" t="s">
        <v>28</v>
      </c>
      <c r="U50" s="29" t="s">
        <v>28</v>
      </c>
      <c r="V50" s="29" t="s">
        <v>28</v>
      </c>
      <c r="W50" s="34" t="s">
        <v>28</v>
      </c>
      <c r="X50" s="261">
        <v>0</v>
      </c>
      <c r="Y50" s="261">
        <v>0</v>
      </c>
      <c r="Z50" s="110" t="s">
        <v>28</v>
      </c>
      <c r="AA50" s="29" t="s">
        <v>28</v>
      </c>
      <c r="AB50" s="29" t="s">
        <v>28</v>
      </c>
      <c r="AC50" s="29" t="s">
        <v>28</v>
      </c>
      <c r="AD50" s="29" t="s">
        <v>28</v>
      </c>
      <c r="AE50" s="34" t="s">
        <v>28</v>
      </c>
      <c r="AF50" s="261">
        <v>0</v>
      </c>
      <c r="AG50" s="262">
        <v>0</v>
      </c>
      <c r="AH50" s="30">
        <v>0</v>
      </c>
      <c r="AI50" s="30">
        <f t="shared" si="6"/>
        <v>0</v>
      </c>
      <c r="AJ50" s="30">
        <f t="shared" si="6"/>
        <v>0</v>
      </c>
      <c r="AK50" s="30">
        <f t="shared" si="6"/>
        <v>0</v>
      </c>
      <c r="AL50" s="30">
        <f t="shared" si="7"/>
        <v>0</v>
      </c>
      <c r="AM50" s="106" t="s">
        <v>28</v>
      </c>
      <c r="AN50" s="271">
        <v>22</v>
      </c>
      <c r="AO50" s="272">
        <v>22</v>
      </c>
      <c r="AP50" s="110" t="s">
        <v>28</v>
      </c>
      <c r="AQ50" s="29" t="s">
        <v>28</v>
      </c>
      <c r="AR50" s="29" t="s">
        <v>28</v>
      </c>
      <c r="AS50" s="29" t="s">
        <v>28</v>
      </c>
      <c r="AT50" s="29" t="s">
        <v>28</v>
      </c>
      <c r="AU50" s="29" t="s">
        <v>28</v>
      </c>
      <c r="AV50" s="249" t="s">
        <v>28</v>
      </c>
      <c r="AW50" s="249" t="s">
        <v>28</v>
      </c>
      <c r="AX50" s="110" t="s">
        <v>28</v>
      </c>
      <c r="AY50" s="29" t="s">
        <v>28</v>
      </c>
      <c r="AZ50" s="29" t="s">
        <v>28</v>
      </c>
      <c r="BA50" s="29" t="s">
        <v>28</v>
      </c>
      <c r="BB50" s="29" t="s">
        <v>28</v>
      </c>
      <c r="BC50" s="34" t="s">
        <v>28</v>
      </c>
      <c r="BD50" s="261">
        <v>0</v>
      </c>
      <c r="BE50" s="261">
        <v>0</v>
      </c>
      <c r="BF50" s="110" t="s">
        <v>28</v>
      </c>
      <c r="BG50" s="29" t="s">
        <v>28</v>
      </c>
      <c r="BH50" s="29" t="s">
        <v>28</v>
      </c>
      <c r="BI50" s="29" t="s">
        <v>28</v>
      </c>
      <c r="BJ50" s="29" t="s">
        <v>28</v>
      </c>
      <c r="BK50" s="34" t="s">
        <v>28</v>
      </c>
      <c r="BL50" s="261">
        <v>0</v>
      </c>
      <c r="BM50" s="261">
        <v>0</v>
      </c>
      <c r="BN50" s="110" t="s">
        <v>28</v>
      </c>
      <c r="BO50" s="29" t="s">
        <v>28</v>
      </c>
      <c r="BP50" s="29" t="s">
        <v>28</v>
      </c>
      <c r="BQ50" s="29" t="s">
        <v>28</v>
      </c>
      <c r="BR50" s="29" t="s">
        <v>28</v>
      </c>
      <c r="BS50" s="34" t="s">
        <v>28</v>
      </c>
      <c r="BT50" s="261">
        <v>0</v>
      </c>
      <c r="BU50" s="261">
        <v>0</v>
      </c>
      <c r="BV50" s="110">
        <v>0</v>
      </c>
      <c r="BW50" s="83">
        <f t="shared" si="8"/>
        <v>0</v>
      </c>
      <c r="BX50" s="83">
        <f t="shared" si="8"/>
        <v>0</v>
      </c>
      <c r="BY50" s="83">
        <v>0</v>
      </c>
      <c r="BZ50" s="83">
        <v>0</v>
      </c>
      <c r="CA50" s="194" t="s">
        <v>28</v>
      </c>
      <c r="CB50" s="285" t="s">
        <v>28</v>
      </c>
      <c r="CC50" s="285" t="s">
        <v>28</v>
      </c>
    </row>
    <row r="51" spans="1:81" s="5" customFormat="1">
      <c r="A51" s="138" t="s">
        <v>41</v>
      </c>
      <c r="B51" s="31" t="s">
        <v>28</v>
      </c>
      <c r="C51" s="32" t="s">
        <v>28</v>
      </c>
      <c r="D51" s="32" t="s">
        <v>28</v>
      </c>
      <c r="E51" s="32" t="s">
        <v>28</v>
      </c>
      <c r="F51" s="32" t="s">
        <v>28</v>
      </c>
      <c r="G51" s="32" t="s">
        <v>28</v>
      </c>
      <c r="H51" s="250" t="s">
        <v>28</v>
      </c>
      <c r="I51" s="250" t="s">
        <v>28</v>
      </c>
      <c r="J51" s="109" t="s">
        <v>28</v>
      </c>
      <c r="K51" s="32" t="s">
        <v>28</v>
      </c>
      <c r="L51" s="32" t="s">
        <v>28</v>
      </c>
      <c r="M51" s="32" t="s">
        <v>28</v>
      </c>
      <c r="N51" s="32" t="s">
        <v>28</v>
      </c>
      <c r="O51" s="32">
        <v>0</v>
      </c>
      <c r="P51" s="250">
        <v>0</v>
      </c>
      <c r="Q51" s="257">
        <v>0</v>
      </c>
      <c r="R51" s="35" t="s">
        <v>28</v>
      </c>
      <c r="S51" s="32" t="s">
        <v>28</v>
      </c>
      <c r="T51" s="32" t="s">
        <v>28</v>
      </c>
      <c r="U51" s="32" t="s">
        <v>28</v>
      </c>
      <c r="V51" s="32" t="s">
        <v>28</v>
      </c>
      <c r="W51" s="32">
        <v>0</v>
      </c>
      <c r="X51" s="250">
        <v>0</v>
      </c>
      <c r="Y51" s="250">
        <v>0</v>
      </c>
      <c r="Z51" s="31">
        <v>72</v>
      </c>
      <c r="AA51" s="32">
        <v>72</v>
      </c>
      <c r="AB51" s="32">
        <v>80</v>
      </c>
      <c r="AC51" s="32">
        <v>80</v>
      </c>
      <c r="AD51" s="32">
        <v>80</v>
      </c>
      <c r="AE51" s="32">
        <v>80</v>
      </c>
      <c r="AF51" s="250">
        <v>80</v>
      </c>
      <c r="AG51" s="257">
        <v>80</v>
      </c>
      <c r="AH51" s="33">
        <v>72</v>
      </c>
      <c r="AI51" s="33">
        <f t="shared" si="6"/>
        <v>72</v>
      </c>
      <c r="AJ51" s="33">
        <f t="shared" si="6"/>
        <v>80</v>
      </c>
      <c r="AK51" s="33">
        <f t="shared" si="6"/>
        <v>80</v>
      </c>
      <c r="AL51" s="33">
        <f t="shared" si="7"/>
        <v>80</v>
      </c>
      <c r="AM51" s="33">
        <v>80</v>
      </c>
      <c r="AN51" s="266">
        <v>80</v>
      </c>
      <c r="AO51" s="267">
        <v>80</v>
      </c>
      <c r="AP51" s="109" t="s">
        <v>28</v>
      </c>
      <c r="AQ51" s="32" t="s">
        <v>28</v>
      </c>
      <c r="AR51" s="32" t="s">
        <v>28</v>
      </c>
      <c r="AS51" s="32" t="s">
        <v>28</v>
      </c>
      <c r="AT51" s="32" t="s">
        <v>28</v>
      </c>
      <c r="AU51" s="32" t="s">
        <v>28</v>
      </c>
      <c r="AV51" s="250" t="s">
        <v>28</v>
      </c>
      <c r="AW51" s="250" t="s">
        <v>28</v>
      </c>
      <c r="AX51" s="109" t="s">
        <v>28</v>
      </c>
      <c r="AY51" s="32" t="s">
        <v>28</v>
      </c>
      <c r="AZ51" s="32" t="s">
        <v>28</v>
      </c>
      <c r="BA51" s="32" t="s">
        <v>28</v>
      </c>
      <c r="BB51" s="32" t="s">
        <v>28</v>
      </c>
      <c r="BC51" s="35" t="s">
        <v>28</v>
      </c>
      <c r="BD51" s="259">
        <v>0</v>
      </c>
      <c r="BE51" s="259">
        <v>0</v>
      </c>
      <c r="BF51" s="109" t="s">
        <v>28</v>
      </c>
      <c r="BG51" s="32" t="s">
        <v>28</v>
      </c>
      <c r="BH51" s="32" t="s">
        <v>28</v>
      </c>
      <c r="BI51" s="32" t="s">
        <v>28</v>
      </c>
      <c r="BJ51" s="32" t="s">
        <v>28</v>
      </c>
      <c r="BK51" s="35" t="s">
        <v>28</v>
      </c>
      <c r="BL51" s="259">
        <v>0</v>
      </c>
      <c r="BM51" s="259">
        <v>0</v>
      </c>
      <c r="BN51" s="109" t="s">
        <v>28</v>
      </c>
      <c r="BO51" s="32" t="s">
        <v>28</v>
      </c>
      <c r="BP51" s="32" t="s">
        <v>28</v>
      </c>
      <c r="BQ51" s="32" t="s">
        <v>28</v>
      </c>
      <c r="BR51" s="32" t="s">
        <v>28</v>
      </c>
      <c r="BS51" s="35" t="s">
        <v>28</v>
      </c>
      <c r="BT51" s="259">
        <v>0</v>
      </c>
      <c r="BU51" s="259">
        <v>0</v>
      </c>
      <c r="BV51" s="109">
        <v>0</v>
      </c>
      <c r="BW51" s="82">
        <f t="shared" si="8"/>
        <v>0</v>
      </c>
      <c r="BX51" s="82">
        <f t="shared" si="8"/>
        <v>0</v>
      </c>
      <c r="BY51" s="82">
        <v>0</v>
      </c>
      <c r="BZ51" s="82">
        <v>0</v>
      </c>
      <c r="CA51" s="195" t="s">
        <v>28</v>
      </c>
      <c r="CB51" s="286" t="s">
        <v>28</v>
      </c>
      <c r="CC51" s="286" t="s">
        <v>28</v>
      </c>
    </row>
    <row r="52" spans="1:81">
      <c r="A52" s="138" t="s">
        <v>42</v>
      </c>
      <c r="B52" s="28" t="s">
        <v>28</v>
      </c>
      <c r="C52" s="29" t="s">
        <v>28</v>
      </c>
      <c r="D52" s="29" t="s">
        <v>28</v>
      </c>
      <c r="E52" s="29" t="s">
        <v>28</v>
      </c>
      <c r="F52" s="29" t="s">
        <v>28</v>
      </c>
      <c r="G52" s="29" t="s">
        <v>28</v>
      </c>
      <c r="H52" s="249" t="s">
        <v>28</v>
      </c>
      <c r="I52" s="249" t="s">
        <v>28</v>
      </c>
      <c r="J52" s="110" t="s">
        <v>28</v>
      </c>
      <c r="K52" s="29" t="s">
        <v>28</v>
      </c>
      <c r="L52" s="29" t="s">
        <v>28</v>
      </c>
      <c r="M52" s="29" t="s">
        <v>28</v>
      </c>
      <c r="N52" s="29" t="s">
        <v>28</v>
      </c>
      <c r="O52" s="34" t="s">
        <v>28</v>
      </c>
      <c r="P52" s="261" t="s">
        <v>28</v>
      </c>
      <c r="Q52" s="262"/>
      <c r="R52" s="34" t="s">
        <v>28</v>
      </c>
      <c r="S52" s="29" t="s">
        <v>28</v>
      </c>
      <c r="T52" s="29" t="s">
        <v>28</v>
      </c>
      <c r="U52" s="29" t="s">
        <v>28</v>
      </c>
      <c r="V52" s="29" t="s">
        <v>28</v>
      </c>
      <c r="W52" s="34" t="s">
        <v>28</v>
      </c>
      <c r="X52" s="261" t="s">
        <v>28</v>
      </c>
      <c r="Y52" s="261">
        <v>0</v>
      </c>
      <c r="Z52" s="110" t="s">
        <v>28</v>
      </c>
      <c r="AA52" s="29" t="s">
        <v>28</v>
      </c>
      <c r="AB52" s="29" t="s">
        <v>28</v>
      </c>
      <c r="AC52" s="29" t="s">
        <v>28</v>
      </c>
      <c r="AD52" s="29" t="s">
        <v>28</v>
      </c>
      <c r="AE52" s="34" t="s">
        <v>28</v>
      </c>
      <c r="AF52" s="261" t="s">
        <v>28</v>
      </c>
      <c r="AG52" s="262"/>
      <c r="AH52" s="30">
        <v>0</v>
      </c>
      <c r="AI52" s="30">
        <f t="shared" si="6"/>
        <v>0</v>
      </c>
      <c r="AJ52" s="30">
        <f t="shared" si="6"/>
        <v>0</v>
      </c>
      <c r="AK52" s="30">
        <f t="shared" si="6"/>
        <v>0</v>
      </c>
      <c r="AL52" s="30">
        <f t="shared" si="7"/>
        <v>0</v>
      </c>
      <c r="AM52" s="106" t="s">
        <v>28</v>
      </c>
      <c r="AN52" s="261" t="s">
        <v>28</v>
      </c>
      <c r="AO52" s="261" t="s">
        <v>28</v>
      </c>
      <c r="AP52" s="110" t="s">
        <v>28</v>
      </c>
      <c r="AQ52" s="29" t="s">
        <v>28</v>
      </c>
      <c r="AR52" s="29" t="s">
        <v>28</v>
      </c>
      <c r="AS52" s="29" t="s">
        <v>28</v>
      </c>
      <c r="AT52" s="29" t="s">
        <v>28</v>
      </c>
      <c r="AU52" s="29" t="s">
        <v>28</v>
      </c>
      <c r="AV52" s="249" t="s">
        <v>28</v>
      </c>
      <c r="AW52" s="249" t="s">
        <v>28</v>
      </c>
      <c r="AX52" s="110" t="s">
        <v>28</v>
      </c>
      <c r="AY52" s="29" t="s">
        <v>28</v>
      </c>
      <c r="AZ52" s="29" t="s">
        <v>28</v>
      </c>
      <c r="BA52" s="29" t="s">
        <v>28</v>
      </c>
      <c r="BB52" s="29" t="s">
        <v>28</v>
      </c>
      <c r="BC52" s="34" t="s">
        <v>28</v>
      </c>
      <c r="BD52" s="261">
        <v>0</v>
      </c>
      <c r="BE52" s="261">
        <v>0</v>
      </c>
      <c r="BF52" s="110" t="s">
        <v>28</v>
      </c>
      <c r="BG52" s="29" t="s">
        <v>28</v>
      </c>
      <c r="BH52" s="29" t="s">
        <v>28</v>
      </c>
      <c r="BI52" s="29" t="s">
        <v>28</v>
      </c>
      <c r="BJ52" s="29" t="s">
        <v>28</v>
      </c>
      <c r="BK52" s="34" t="s">
        <v>28</v>
      </c>
      <c r="BL52" s="261">
        <v>0</v>
      </c>
      <c r="BM52" s="261">
        <v>0</v>
      </c>
      <c r="BN52" s="110" t="s">
        <v>28</v>
      </c>
      <c r="BO52" s="29" t="s">
        <v>28</v>
      </c>
      <c r="BP52" s="29" t="s">
        <v>28</v>
      </c>
      <c r="BQ52" s="29" t="s">
        <v>28</v>
      </c>
      <c r="BR52" s="29" t="s">
        <v>28</v>
      </c>
      <c r="BS52" s="34" t="s">
        <v>28</v>
      </c>
      <c r="BT52" s="261">
        <v>0</v>
      </c>
      <c r="BU52" s="261">
        <v>0</v>
      </c>
      <c r="BV52" s="110">
        <v>0</v>
      </c>
      <c r="BW52" s="83">
        <f t="shared" si="8"/>
        <v>0</v>
      </c>
      <c r="BX52" s="83">
        <f t="shared" si="8"/>
        <v>0</v>
      </c>
      <c r="BY52" s="83">
        <v>0</v>
      </c>
      <c r="BZ52" s="83">
        <v>0</v>
      </c>
      <c r="CA52" s="194" t="s">
        <v>28</v>
      </c>
      <c r="CB52" s="285" t="s">
        <v>28</v>
      </c>
      <c r="CC52" s="285" t="s">
        <v>28</v>
      </c>
    </row>
    <row r="53" spans="1:81" s="5" customFormat="1">
      <c r="A53" s="140" t="s">
        <v>58</v>
      </c>
      <c r="B53" s="38" t="s">
        <v>28</v>
      </c>
      <c r="C53" s="13" t="s">
        <v>28</v>
      </c>
      <c r="D53" s="13" t="s">
        <v>28</v>
      </c>
      <c r="E53" s="13" t="s">
        <v>28</v>
      </c>
      <c r="F53" s="13" t="s">
        <v>28</v>
      </c>
      <c r="G53" s="13" t="s">
        <v>28</v>
      </c>
      <c r="H53" s="252" t="s">
        <v>28</v>
      </c>
      <c r="I53" s="252" t="s">
        <v>28</v>
      </c>
      <c r="J53" s="113" t="s">
        <v>28</v>
      </c>
      <c r="K53" s="13" t="s">
        <v>28</v>
      </c>
      <c r="L53" s="13" t="s">
        <v>28</v>
      </c>
      <c r="M53" s="13" t="s">
        <v>28</v>
      </c>
      <c r="N53" s="13" t="s">
        <v>28</v>
      </c>
      <c r="O53" s="13">
        <v>0</v>
      </c>
      <c r="P53" s="252">
        <v>0</v>
      </c>
      <c r="Q53" s="263">
        <v>0</v>
      </c>
      <c r="R53" s="13">
        <v>49</v>
      </c>
      <c r="S53" s="13">
        <v>49</v>
      </c>
      <c r="T53" s="13">
        <v>49</v>
      </c>
      <c r="U53" s="13">
        <v>49</v>
      </c>
      <c r="V53" s="13">
        <v>49</v>
      </c>
      <c r="W53" s="13">
        <v>49</v>
      </c>
      <c r="X53" s="252">
        <v>42</v>
      </c>
      <c r="Y53" s="252">
        <v>53</v>
      </c>
      <c r="Z53" s="38">
        <v>4</v>
      </c>
      <c r="AA53" s="13">
        <v>4</v>
      </c>
      <c r="AB53" s="13">
        <v>4</v>
      </c>
      <c r="AC53" s="13">
        <v>4</v>
      </c>
      <c r="AD53" s="13">
        <v>4</v>
      </c>
      <c r="AE53" s="13">
        <v>4</v>
      </c>
      <c r="AF53" s="252">
        <v>11</v>
      </c>
      <c r="AG53" s="263">
        <v>11</v>
      </c>
      <c r="AH53" s="14">
        <v>53</v>
      </c>
      <c r="AI53" s="14">
        <f t="shared" si="6"/>
        <v>53</v>
      </c>
      <c r="AJ53" s="14">
        <f t="shared" si="6"/>
        <v>53</v>
      </c>
      <c r="AK53" s="14">
        <f t="shared" si="6"/>
        <v>53</v>
      </c>
      <c r="AL53" s="14">
        <f t="shared" si="7"/>
        <v>53</v>
      </c>
      <c r="AM53" s="14">
        <v>53</v>
      </c>
      <c r="AN53" s="273">
        <v>53</v>
      </c>
      <c r="AO53" s="274">
        <v>64</v>
      </c>
      <c r="AP53" s="113" t="s">
        <v>28</v>
      </c>
      <c r="AQ53" s="13" t="s">
        <v>28</v>
      </c>
      <c r="AR53" s="13" t="s">
        <v>28</v>
      </c>
      <c r="AS53" s="13" t="s">
        <v>28</v>
      </c>
      <c r="AT53" s="13" t="s">
        <v>28</v>
      </c>
      <c r="AU53" s="13" t="s">
        <v>28</v>
      </c>
      <c r="AV53" s="252" t="s">
        <v>28</v>
      </c>
      <c r="AW53" s="252" t="s">
        <v>28</v>
      </c>
      <c r="AX53" s="38">
        <v>3</v>
      </c>
      <c r="AY53" s="13">
        <v>3</v>
      </c>
      <c r="AZ53" s="13">
        <v>5</v>
      </c>
      <c r="BA53" s="13">
        <v>5</v>
      </c>
      <c r="BB53" s="13">
        <v>5</v>
      </c>
      <c r="BC53" s="13">
        <f>0+5</f>
        <v>5</v>
      </c>
      <c r="BD53" s="252">
        <v>3</v>
      </c>
      <c r="BE53" s="252">
        <v>39</v>
      </c>
      <c r="BF53" s="38">
        <v>22</v>
      </c>
      <c r="BG53" s="13">
        <v>23</v>
      </c>
      <c r="BH53" s="13">
        <v>14</v>
      </c>
      <c r="BI53" s="13">
        <v>14</v>
      </c>
      <c r="BJ53" s="13">
        <v>14</v>
      </c>
      <c r="BK53" s="13">
        <f>0+25</f>
        <v>25</v>
      </c>
      <c r="BL53" s="252">
        <v>28</v>
      </c>
      <c r="BM53" s="252">
        <v>31</v>
      </c>
      <c r="BN53" s="38">
        <v>12</v>
      </c>
      <c r="BO53" s="13">
        <v>12</v>
      </c>
      <c r="BP53" s="13">
        <v>19</v>
      </c>
      <c r="BQ53" s="13">
        <v>21</v>
      </c>
      <c r="BR53" s="13">
        <v>19</v>
      </c>
      <c r="BS53" s="13">
        <f>0+11</f>
        <v>11</v>
      </c>
      <c r="BT53" s="252">
        <v>9</v>
      </c>
      <c r="BU53" s="252">
        <v>19</v>
      </c>
      <c r="BV53" s="38">
        <v>37</v>
      </c>
      <c r="BW53" s="17">
        <f t="shared" si="8"/>
        <v>38</v>
      </c>
      <c r="BX53" s="17">
        <f t="shared" si="8"/>
        <v>38</v>
      </c>
      <c r="BY53" s="17">
        <v>40</v>
      </c>
      <c r="BZ53" s="17">
        <v>38</v>
      </c>
      <c r="CA53" s="196">
        <v>41</v>
      </c>
      <c r="CB53" s="287">
        <v>40</v>
      </c>
      <c r="CC53" s="287">
        <v>89</v>
      </c>
    </row>
    <row r="54" spans="1:81" s="15" customFormat="1">
      <c r="A54" s="155"/>
      <c r="B54" s="155" t="s">
        <v>47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55" t="s">
        <v>47</v>
      </c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156"/>
      <c r="CA54" s="156"/>
      <c r="CB54" s="91"/>
    </row>
    <row r="55" spans="1:81" s="15" customForma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69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1:81" s="15" customForma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16"/>
      <c r="S56" s="16"/>
      <c r="T56" s="16"/>
      <c r="U56" s="16"/>
      <c r="V56" s="16"/>
      <c r="W56" s="16"/>
      <c r="X56" s="16"/>
      <c r="Y56" s="16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86"/>
      <c r="AL56" s="86"/>
      <c r="AM56" s="86"/>
      <c r="AN56" s="86"/>
      <c r="AO56" s="86"/>
      <c r="AP56" s="84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16"/>
      <c r="BH56" s="16"/>
      <c r="BI56" s="16"/>
      <c r="BJ56" s="16"/>
      <c r="BK56" s="16"/>
      <c r="BL56" s="16"/>
      <c r="BM56" s="16"/>
      <c r="BN56" s="16"/>
      <c r="BO56" s="85"/>
      <c r="BP56" s="85"/>
      <c r="BQ56" s="85"/>
      <c r="BR56" s="85"/>
      <c r="BS56" s="85"/>
      <c r="BT56" s="85"/>
      <c r="BU56" s="85"/>
      <c r="BV56" s="85"/>
      <c r="BW56" s="86"/>
      <c r="BX56" s="86"/>
      <c r="BY56" s="86"/>
      <c r="BZ56" s="86"/>
      <c r="CA56" s="86"/>
      <c r="CB56" s="86"/>
    </row>
    <row r="57" spans="1:81" s="15" customForma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4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6"/>
      <c r="BX57" s="86"/>
      <c r="BY57" s="86"/>
      <c r="BZ57" s="86"/>
      <c r="CA57" s="86"/>
      <c r="CB57" s="86"/>
    </row>
    <row r="58" spans="1:81" s="15" customFormat="1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16"/>
      <c r="S58" s="16"/>
      <c r="T58" s="16"/>
      <c r="U58" s="16"/>
      <c r="V58" s="16"/>
      <c r="W58" s="16"/>
      <c r="X58" s="16"/>
      <c r="Y58" s="16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86"/>
      <c r="AL58" s="86"/>
      <c r="AM58" s="86"/>
      <c r="AN58" s="86"/>
      <c r="AO58" s="86"/>
      <c r="AP58" s="84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16"/>
      <c r="BH58" s="16"/>
      <c r="BI58" s="16"/>
      <c r="BJ58" s="16"/>
      <c r="BK58" s="16"/>
      <c r="BL58" s="16"/>
      <c r="BM58" s="16"/>
      <c r="BN58" s="16"/>
      <c r="BO58" s="85"/>
      <c r="BP58" s="85"/>
      <c r="BQ58" s="85"/>
      <c r="BR58" s="85"/>
      <c r="BS58" s="85"/>
      <c r="BT58" s="85"/>
      <c r="BU58" s="85"/>
      <c r="BV58" s="85"/>
      <c r="BW58" s="86"/>
      <c r="BX58" s="86"/>
      <c r="BY58" s="86"/>
      <c r="BZ58" s="86"/>
      <c r="CA58" s="86"/>
      <c r="CB58" s="86"/>
    </row>
    <row r="59" spans="1:81" s="15" customFormat="1" ht="13.5" thickBo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1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0"/>
    </row>
  </sheetData>
  <mergeCells count="30">
    <mergeCell ref="B7:AK7"/>
    <mergeCell ref="AP7:BZ7"/>
    <mergeCell ref="BV9:BZ9"/>
    <mergeCell ref="B8:AH8"/>
    <mergeCell ref="AP8:BV8"/>
    <mergeCell ref="AX9:BB9"/>
    <mergeCell ref="BF9:BJ9"/>
    <mergeCell ref="BN9:BR9"/>
    <mergeCell ref="B9:F9"/>
    <mergeCell ref="J9:N9"/>
    <mergeCell ref="R9:V9"/>
    <mergeCell ref="Z9:AD9"/>
    <mergeCell ref="AH9:AL9"/>
    <mergeCell ref="AP9:AT9"/>
    <mergeCell ref="C6:Y6"/>
    <mergeCell ref="Z2:AO2"/>
    <mergeCell ref="Z4:AO4"/>
    <mergeCell ref="Z5:AO5"/>
    <mergeCell ref="Z6:AO6"/>
    <mergeCell ref="C2:Y2"/>
    <mergeCell ref="C4:Y4"/>
    <mergeCell ref="C5:Y5"/>
    <mergeCell ref="AP6:BM6"/>
    <mergeCell ref="BN2:CC2"/>
    <mergeCell ref="BN4:CC4"/>
    <mergeCell ref="BN5:CC5"/>
    <mergeCell ref="BN6:CC6"/>
    <mergeCell ref="AP2:BM2"/>
    <mergeCell ref="AP4:BM4"/>
    <mergeCell ref="AP5:BM5"/>
  </mergeCells>
  <printOptions horizontalCentered="1"/>
  <pageMargins left="0.35433070866141736" right="0.11811023622047245" top="0.27559055118110237" bottom="0" header="0" footer="0"/>
  <pageSetup scale="55" orientation="landscape" r:id="rId1"/>
  <headerFooter alignWithMargins="0"/>
  <colBreaks count="3" manualBreakCount="3">
    <brk id="25" max="57" man="1"/>
    <brk id="41" max="57" man="1"/>
    <brk id="65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SheetLayoutView="100" workbookViewId="0">
      <selection activeCell="L10" sqref="L10"/>
    </sheetView>
  </sheetViews>
  <sheetFormatPr defaultRowHeight="12"/>
  <cols>
    <col min="1" max="1" width="16.75" customWidth="1"/>
    <col min="2" max="2" width="8.375" customWidth="1"/>
    <col min="3" max="3" width="7.25" customWidth="1"/>
    <col min="4" max="4" width="8" customWidth="1"/>
    <col min="5" max="5" width="11.25" customWidth="1"/>
    <col min="6" max="6" width="9.25" customWidth="1"/>
    <col min="7" max="7" width="8.625" customWidth="1"/>
    <col min="8" max="8" width="10.375" customWidth="1"/>
    <col min="9" max="9" width="9.625" customWidth="1"/>
    <col min="10" max="10" width="10.625" customWidth="1"/>
    <col min="11" max="11" width="6.875" customWidth="1"/>
    <col min="12" max="12" width="7.375" customWidth="1"/>
    <col min="13" max="13" width="6.625" customWidth="1"/>
    <col min="14" max="14" width="10.5" customWidth="1"/>
    <col min="15" max="15" width="10.75" customWidth="1"/>
    <col min="16" max="16" width="8.75" customWidth="1"/>
    <col min="17" max="17" width="12.75" customWidth="1"/>
    <col min="18" max="18" width="10.75" customWidth="1"/>
    <col min="19" max="19" width="10.625" customWidth="1"/>
  </cols>
  <sheetData>
    <row r="1" spans="1:19" ht="20.25">
      <c r="A1" s="224" t="s">
        <v>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4.25">
      <c r="A2" s="225" t="s">
        <v>92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4.25">
      <c r="A3" s="225" t="s">
        <v>93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18" customHeight="1" thickBot="1">
      <c r="A4" s="233" t="s">
        <v>106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30.75" customHeight="1">
      <c r="A5" s="159"/>
      <c r="B5" s="226" t="s">
        <v>94</v>
      </c>
      <c r="C5" s="227"/>
      <c r="D5" s="228"/>
      <c r="E5" s="226" t="s">
        <v>95</v>
      </c>
      <c r="F5" s="227"/>
      <c r="G5" s="228"/>
      <c r="H5" s="229" t="s">
        <v>96</v>
      </c>
      <c r="I5" s="230"/>
      <c r="J5" s="231"/>
      <c r="K5" s="232" t="s">
        <v>97</v>
      </c>
      <c r="L5" s="227"/>
      <c r="M5" s="228"/>
      <c r="N5" s="226" t="s">
        <v>98</v>
      </c>
      <c r="O5" s="227"/>
      <c r="P5" s="228"/>
      <c r="Q5" s="229" t="s">
        <v>99</v>
      </c>
      <c r="R5" s="230"/>
      <c r="S5" s="231"/>
    </row>
    <row r="6" spans="1:19" ht="29.25" customHeight="1">
      <c r="A6" s="160"/>
      <c r="B6" s="190" t="s">
        <v>83</v>
      </c>
      <c r="C6" s="162" t="s">
        <v>100</v>
      </c>
      <c r="D6" s="163" t="s">
        <v>101</v>
      </c>
      <c r="E6" s="161" t="s">
        <v>83</v>
      </c>
      <c r="F6" s="162" t="s">
        <v>100</v>
      </c>
      <c r="G6" s="163" t="s">
        <v>101</v>
      </c>
      <c r="H6" s="161" t="s">
        <v>102</v>
      </c>
      <c r="I6" s="161" t="s">
        <v>103</v>
      </c>
      <c r="J6" s="164" t="s">
        <v>104</v>
      </c>
      <c r="K6" s="161" t="s">
        <v>83</v>
      </c>
      <c r="L6" s="162" t="s">
        <v>100</v>
      </c>
      <c r="M6" s="163" t="s">
        <v>101</v>
      </c>
      <c r="N6" s="161" t="s">
        <v>83</v>
      </c>
      <c r="O6" s="162" t="s">
        <v>100</v>
      </c>
      <c r="P6" s="163" t="s">
        <v>101</v>
      </c>
      <c r="Q6" s="161" t="s">
        <v>102</v>
      </c>
      <c r="R6" s="161" t="s">
        <v>103</v>
      </c>
      <c r="S6" s="164" t="s">
        <v>104</v>
      </c>
    </row>
    <row r="7" spans="1:19" ht="13.5" customHeight="1">
      <c r="A7" s="160"/>
      <c r="B7" s="191">
        <v>1</v>
      </c>
      <c r="C7" s="165">
        <v>2</v>
      </c>
      <c r="D7" s="166">
        <v>3</v>
      </c>
      <c r="E7" s="167">
        <v>5</v>
      </c>
      <c r="F7" s="168">
        <v>6</v>
      </c>
      <c r="G7" s="169">
        <v>7</v>
      </c>
      <c r="H7" s="168">
        <v>8</v>
      </c>
      <c r="I7" s="165">
        <v>9</v>
      </c>
      <c r="J7" s="170">
        <v>10</v>
      </c>
      <c r="K7" s="171">
        <v>1</v>
      </c>
      <c r="L7" s="165">
        <v>2</v>
      </c>
      <c r="M7" s="166">
        <v>3</v>
      </c>
      <c r="N7" s="167">
        <v>5</v>
      </c>
      <c r="O7" s="168">
        <v>6</v>
      </c>
      <c r="P7" s="169">
        <v>7</v>
      </c>
      <c r="Q7" s="168">
        <v>8</v>
      </c>
      <c r="R7" s="165">
        <v>9</v>
      </c>
      <c r="S7" s="170">
        <v>10</v>
      </c>
    </row>
    <row r="8" spans="1:19" ht="15">
      <c r="A8" s="136" t="s">
        <v>26</v>
      </c>
      <c r="B8" s="174"/>
      <c r="C8" s="172"/>
      <c r="D8" s="173"/>
      <c r="E8" s="174"/>
      <c r="F8" s="172"/>
      <c r="G8" s="173"/>
      <c r="H8" s="172"/>
      <c r="I8" s="172"/>
      <c r="J8" s="175"/>
      <c r="K8" s="176"/>
      <c r="L8" s="177"/>
      <c r="M8" s="178"/>
      <c r="N8" s="179"/>
      <c r="O8" s="177"/>
      <c r="P8" s="178"/>
      <c r="Q8" s="177"/>
      <c r="R8" s="177"/>
      <c r="S8" s="175"/>
    </row>
    <row r="9" spans="1:19" ht="15">
      <c r="A9" s="138" t="s">
        <v>27</v>
      </c>
      <c r="B9" s="174">
        <v>5</v>
      </c>
      <c r="C9" s="172">
        <v>0</v>
      </c>
      <c r="D9" s="173">
        <v>0</v>
      </c>
      <c r="E9" s="174">
        <v>1861</v>
      </c>
      <c r="F9" s="172">
        <v>4289</v>
      </c>
      <c r="G9" s="173">
        <v>212</v>
      </c>
      <c r="H9" s="180">
        <f>(B9+E9)</f>
        <v>1866</v>
      </c>
      <c r="I9" s="180">
        <f t="shared" ref="I9:J24" si="0">(C9+F9)</f>
        <v>4289</v>
      </c>
      <c r="J9" s="181">
        <f t="shared" si="0"/>
        <v>212</v>
      </c>
      <c r="K9" s="160">
        <v>2</v>
      </c>
      <c r="L9" s="172">
        <v>0</v>
      </c>
      <c r="M9" s="173">
        <v>0</v>
      </c>
      <c r="N9" s="174">
        <v>1689</v>
      </c>
      <c r="O9" s="172">
        <v>4458</v>
      </c>
      <c r="P9" s="173">
        <v>232</v>
      </c>
      <c r="Q9" s="180">
        <f>(K9+N9)</f>
        <v>1691</v>
      </c>
      <c r="R9" s="180">
        <f t="shared" ref="R9:S24" si="1">(L9+O9)</f>
        <v>4458</v>
      </c>
      <c r="S9" s="181">
        <f t="shared" si="1"/>
        <v>232</v>
      </c>
    </row>
    <row r="10" spans="1:19" ht="15">
      <c r="A10" s="138" t="s">
        <v>29</v>
      </c>
      <c r="B10" s="174"/>
      <c r="C10" s="172"/>
      <c r="D10" s="173"/>
      <c r="E10" s="174"/>
      <c r="F10" s="172"/>
      <c r="G10" s="173"/>
      <c r="H10" s="180">
        <f t="shared" ref="H10:J47" si="2">(B10+E10)</f>
        <v>0</v>
      </c>
      <c r="I10" s="180">
        <f t="shared" si="0"/>
        <v>0</v>
      </c>
      <c r="J10" s="181">
        <f t="shared" si="0"/>
        <v>0</v>
      </c>
      <c r="K10" s="160"/>
      <c r="L10" s="172"/>
      <c r="M10" s="173"/>
      <c r="N10" s="174"/>
      <c r="O10" s="172"/>
      <c r="P10" s="173"/>
      <c r="Q10" s="180">
        <f t="shared" ref="Q10:S47" si="3">(K10+N10)</f>
        <v>0</v>
      </c>
      <c r="R10" s="180">
        <f t="shared" si="1"/>
        <v>0</v>
      </c>
      <c r="S10" s="181">
        <f t="shared" si="1"/>
        <v>0</v>
      </c>
    </row>
    <row r="11" spans="1:19" ht="15">
      <c r="A11" s="138" t="s">
        <v>53</v>
      </c>
      <c r="B11" s="174">
        <v>0</v>
      </c>
      <c r="C11" s="172">
        <v>0</v>
      </c>
      <c r="D11" s="173">
        <v>0</v>
      </c>
      <c r="E11" s="174">
        <v>2839</v>
      </c>
      <c r="F11" s="172">
        <v>0</v>
      </c>
      <c r="G11" s="173">
        <v>0</v>
      </c>
      <c r="H11" s="180">
        <f t="shared" si="2"/>
        <v>2839</v>
      </c>
      <c r="I11" s="180">
        <f t="shared" si="0"/>
        <v>0</v>
      </c>
      <c r="J11" s="181">
        <f t="shared" si="0"/>
        <v>0</v>
      </c>
      <c r="K11" s="160">
        <v>0</v>
      </c>
      <c r="L11" s="172">
        <v>0</v>
      </c>
      <c r="M11" s="182">
        <v>0</v>
      </c>
      <c r="N11" s="174">
        <v>2180</v>
      </c>
      <c r="O11" s="183">
        <v>0</v>
      </c>
      <c r="P11" s="173">
        <v>0</v>
      </c>
      <c r="Q11" s="180">
        <f t="shared" si="3"/>
        <v>2180</v>
      </c>
      <c r="R11" s="180">
        <f t="shared" si="1"/>
        <v>0</v>
      </c>
      <c r="S11" s="181">
        <f t="shared" si="1"/>
        <v>0</v>
      </c>
    </row>
    <row r="12" spans="1:19" ht="15">
      <c r="A12" s="138" t="s">
        <v>55</v>
      </c>
      <c r="B12" s="174">
        <v>0</v>
      </c>
      <c r="C12" s="172">
        <v>0</v>
      </c>
      <c r="D12" s="173">
        <v>0</v>
      </c>
      <c r="E12" s="174">
        <v>1548</v>
      </c>
      <c r="F12" s="172">
        <v>2797</v>
      </c>
      <c r="G12" s="173">
        <v>44</v>
      </c>
      <c r="H12" s="180">
        <f t="shared" si="2"/>
        <v>1548</v>
      </c>
      <c r="I12" s="180">
        <f t="shared" si="0"/>
        <v>2797</v>
      </c>
      <c r="J12" s="181">
        <f t="shared" si="0"/>
        <v>44</v>
      </c>
      <c r="K12" s="160">
        <v>0</v>
      </c>
      <c r="L12" s="183">
        <v>0</v>
      </c>
      <c r="M12" s="173">
        <v>0</v>
      </c>
      <c r="N12" s="174">
        <v>1548</v>
      </c>
      <c r="O12" s="183">
        <v>2834</v>
      </c>
      <c r="P12" s="173">
        <v>44</v>
      </c>
      <c r="Q12" s="180">
        <f t="shared" si="3"/>
        <v>1548</v>
      </c>
      <c r="R12" s="180">
        <f t="shared" si="1"/>
        <v>2834</v>
      </c>
      <c r="S12" s="181">
        <f t="shared" si="1"/>
        <v>44</v>
      </c>
    </row>
    <row r="13" spans="1:19" ht="15">
      <c r="A13" s="138" t="s">
        <v>56</v>
      </c>
      <c r="B13" s="174">
        <v>306</v>
      </c>
      <c r="C13" s="172">
        <v>34</v>
      </c>
      <c r="D13" s="173">
        <v>0</v>
      </c>
      <c r="E13" s="174">
        <v>2369</v>
      </c>
      <c r="F13" s="172">
        <v>2114</v>
      </c>
      <c r="G13" s="173">
        <v>124</v>
      </c>
      <c r="H13" s="180">
        <f t="shared" si="2"/>
        <v>2675</v>
      </c>
      <c r="I13" s="180">
        <f t="shared" si="0"/>
        <v>2148</v>
      </c>
      <c r="J13" s="181">
        <f t="shared" si="0"/>
        <v>124</v>
      </c>
      <c r="K13" s="160">
        <v>286</v>
      </c>
      <c r="L13" s="183">
        <v>34</v>
      </c>
      <c r="M13" s="173">
        <v>0</v>
      </c>
      <c r="N13" s="174">
        <v>2016</v>
      </c>
      <c r="O13" s="183">
        <v>1818</v>
      </c>
      <c r="P13" s="173">
        <v>87</v>
      </c>
      <c r="Q13" s="180">
        <f t="shared" si="3"/>
        <v>2302</v>
      </c>
      <c r="R13" s="180">
        <f t="shared" si="1"/>
        <v>1852</v>
      </c>
      <c r="S13" s="181">
        <f t="shared" si="1"/>
        <v>87</v>
      </c>
    </row>
    <row r="14" spans="1:19" ht="15">
      <c r="A14" s="138" t="s">
        <v>80</v>
      </c>
      <c r="B14" s="174">
        <v>5</v>
      </c>
      <c r="C14" s="172">
        <v>0</v>
      </c>
      <c r="D14" s="173">
        <v>0</v>
      </c>
      <c r="E14" s="174">
        <v>172</v>
      </c>
      <c r="F14" s="172">
        <v>102</v>
      </c>
      <c r="G14" s="173">
        <v>0</v>
      </c>
      <c r="H14" s="180">
        <f t="shared" si="2"/>
        <v>177</v>
      </c>
      <c r="I14" s="180">
        <f t="shared" si="0"/>
        <v>102</v>
      </c>
      <c r="J14" s="181">
        <f t="shared" si="0"/>
        <v>0</v>
      </c>
      <c r="K14" s="160">
        <v>5</v>
      </c>
      <c r="L14" s="183">
        <v>0</v>
      </c>
      <c r="M14" s="173">
        <v>0</v>
      </c>
      <c r="N14" s="174">
        <v>172</v>
      </c>
      <c r="O14" s="183">
        <v>102</v>
      </c>
      <c r="P14" s="173">
        <v>0</v>
      </c>
      <c r="Q14" s="180">
        <f t="shared" si="3"/>
        <v>177</v>
      </c>
      <c r="R14" s="180">
        <f t="shared" si="1"/>
        <v>102</v>
      </c>
      <c r="S14" s="181">
        <f t="shared" si="1"/>
        <v>0</v>
      </c>
    </row>
    <row r="15" spans="1:19" ht="15">
      <c r="A15" s="138" t="s">
        <v>79</v>
      </c>
      <c r="B15" s="174">
        <v>30</v>
      </c>
      <c r="C15" s="172">
        <v>1</v>
      </c>
      <c r="D15" s="173">
        <v>0</v>
      </c>
      <c r="E15" s="174">
        <v>7218</v>
      </c>
      <c r="F15" s="172">
        <v>9265</v>
      </c>
      <c r="G15" s="173">
        <v>1278</v>
      </c>
      <c r="H15" s="180">
        <f t="shared" si="2"/>
        <v>7248</v>
      </c>
      <c r="I15" s="180">
        <f t="shared" si="0"/>
        <v>9266</v>
      </c>
      <c r="J15" s="181">
        <f t="shared" si="0"/>
        <v>1278</v>
      </c>
      <c r="K15" s="160">
        <v>30</v>
      </c>
      <c r="L15" s="183">
        <v>1</v>
      </c>
      <c r="M15" s="173">
        <v>0</v>
      </c>
      <c r="N15" s="174">
        <v>7218</v>
      </c>
      <c r="O15" s="183">
        <v>9265</v>
      </c>
      <c r="P15" s="173">
        <v>1278</v>
      </c>
      <c r="Q15" s="180">
        <f t="shared" si="3"/>
        <v>7248</v>
      </c>
      <c r="R15" s="180">
        <f t="shared" si="1"/>
        <v>9266</v>
      </c>
      <c r="S15" s="181">
        <f t="shared" si="1"/>
        <v>1278</v>
      </c>
    </row>
    <row r="16" spans="1:19" ht="15">
      <c r="A16" s="138" t="s">
        <v>30</v>
      </c>
      <c r="B16" s="174">
        <v>0</v>
      </c>
      <c r="C16" s="172">
        <v>0</v>
      </c>
      <c r="D16" s="173">
        <v>0</v>
      </c>
      <c r="E16" s="174">
        <v>564</v>
      </c>
      <c r="F16" s="172">
        <v>1341</v>
      </c>
      <c r="G16" s="173">
        <v>193</v>
      </c>
      <c r="H16" s="180">
        <f t="shared" si="2"/>
        <v>564</v>
      </c>
      <c r="I16" s="180">
        <f t="shared" si="0"/>
        <v>1341</v>
      </c>
      <c r="J16" s="181">
        <f t="shared" si="0"/>
        <v>193</v>
      </c>
      <c r="K16" s="160">
        <v>0</v>
      </c>
      <c r="L16" s="183">
        <v>0</v>
      </c>
      <c r="M16" s="173">
        <v>0</v>
      </c>
      <c r="N16" s="174">
        <v>441</v>
      </c>
      <c r="O16" s="183">
        <v>1575</v>
      </c>
      <c r="P16" s="173">
        <v>112</v>
      </c>
      <c r="Q16" s="180">
        <f t="shared" si="3"/>
        <v>441</v>
      </c>
      <c r="R16" s="180">
        <f t="shared" si="1"/>
        <v>1575</v>
      </c>
      <c r="S16" s="181">
        <f t="shared" si="1"/>
        <v>112</v>
      </c>
    </row>
    <row r="17" spans="1:19" ht="15">
      <c r="A17" s="138" t="s">
        <v>52</v>
      </c>
      <c r="B17" s="174">
        <v>0</v>
      </c>
      <c r="C17" s="172">
        <v>0</v>
      </c>
      <c r="D17" s="173">
        <v>0</v>
      </c>
      <c r="E17" s="174">
        <v>934</v>
      </c>
      <c r="F17" s="172">
        <v>570</v>
      </c>
      <c r="G17" s="173">
        <v>0</v>
      </c>
      <c r="H17" s="180">
        <f t="shared" si="2"/>
        <v>934</v>
      </c>
      <c r="I17" s="180">
        <f t="shared" si="0"/>
        <v>570</v>
      </c>
      <c r="J17" s="181">
        <f t="shared" si="0"/>
        <v>0</v>
      </c>
      <c r="K17" s="160">
        <v>0</v>
      </c>
      <c r="L17" s="183">
        <v>0</v>
      </c>
      <c r="M17" s="173">
        <v>0</v>
      </c>
      <c r="N17" s="174">
        <v>896</v>
      </c>
      <c r="O17" s="183">
        <v>570</v>
      </c>
      <c r="P17" s="173">
        <v>0</v>
      </c>
      <c r="Q17" s="180">
        <f t="shared" si="3"/>
        <v>896</v>
      </c>
      <c r="R17" s="180">
        <f t="shared" si="1"/>
        <v>570</v>
      </c>
      <c r="S17" s="181">
        <f t="shared" si="1"/>
        <v>0</v>
      </c>
    </row>
    <row r="18" spans="1:19" ht="15">
      <c r="A18" s="138" t="s">
        <v>78</v>
      </c>
      <c r="B18" s="174">
        <v>0</v>
      </c>
      <c r="C18" s="172">
        <v>0</v>
      </c>
      <c r="D18" s="173">
        <v>0</v>
      </c>
      <c r="E18" s="174">
        <v>93</v>
      </c>
      <c r="F18" s="172">
        <v>24</v>
      </c>
      <c r="G18" s="173">
        <v>14</v>
      </c>
      <c r="H18" s="180">
        <f t="shared" si="2"/>
        <v>93</v>
      </c>
      <c r="I18" s="180">
        <f t="shared" si="0"/>
        <v>24</v>
      </c>
      <c r="J18" s="181">
        <f t="shared" si="0"/>
        <v>14</v>
      </c>
      <c r="K18" s="160">
        <v>0</v>
      </c>
      <c r="L18" s="183">
        <v>0</v>
      </c>
      <c r="M18" s="173">
        <v>0</v>
      </c>
      <c r="N18" s="174">
        <v>93</v>
      </c>
      <c r="O18" s="183">
        <v>24</v>
      </c>
      <c r="P18" s="173">
        <v>14</v>
      </c>
      <c r="Q18" s="180">
        <f t="shared" si="3"/>
        <v>93</v>
      </c>
      <c r="R18" s="180">
        <f t="shared" si="1"/>
        <v>24</v>
      </c>
      <c r="S18" s="181">
        <f t="shared" si="1"/>
        <v>14</v>
      </c>
    </row>
    <row r="19" spans="1:19" ht="15">
      <c r="A19" s="138" t="s">
        <v>77</v>
      </c>
      <c r="B19" s="174">
        <v>0</v>
      </c>
      <c r="C19" s="172">
        <v>0</v>
      </c>
      <c r="D19" s="173">
        <v>0</v>
      </c>
      <c r="E19" s="174">
        <v>653</v>
      </c>
      <c r="F19" s="172">
        <v>943</v>
      </c>
      <c r="G19" s="173">
        <v>0</v>
      </c>
      <c r="H19" s="180">
        <f t="shared" si="2"/>
        <v>653</v>
      </c>
      <c r="I19" s="180">
        <f t="shared" si="0"/>
        <v>943</v>
      </c>
      <c r="J19" s="181">
        <f t="shared" si="0"/>
        <v>0</v>
      </c>
      <c r="K19" s="160">
        <v>0</v>
      </c>
      <c r="L19" s="183">
        <v>0</v>
      </c>
      <c r="M19" s="173">
        <v>0</v>
      </c>
      <c r="N19" s="174">
        <v>583</v>
      </c>
      <c r="O19" s="183">
        <v>775</v>
      </c>
      <c r="P19" s="173">
        <v>0</v>
      </c>
      <c r="Q19" s="180">
        <f t="shared" si="3"/>
        <v>583</v>
      </c>
      <c r="R19" s="180">
        <f t="shared" si="1"/>
        <v>775</v>
      </c>
      <c r="S19" s="181">
        <f t="shared" si="1"/>
        <v>0</v>
      </c>
    </row>
    <row r="20" spans="1:19" ht="15">
      <c r="A20" s="138" t="s">
        <v>48</v>
      </c>
      <c r="B20" s="174">
        <v>118</v>
      </c>
      <c r="C20" s="172">
        <v>0</v>
      </c>
      <c r="D20" s="173">
        <v>0</v>
      </c>
      <c r="E20" s="174">
        <v>16509</v>
      </c>
      <c r="F20" s="172">
        <v>3838</v>
      </c>
      <c r="G20" s="173">
        <v>272</v>
      </c>
      <c r="H20" s="180">
        <f t="shared" si="2"/>
        <v>16627</v>
      </c>
      <c r="I20" s="180">
        <f t="shared" si="0"/>
        <v>3838</v>
      </c>
      <c r="J20" s="181">
        <f t="shared" si="0"/>
        <v>272</v>
      </c>
      <c r="K20" s="160">
        <v>98</v>
      </c>
      <c r="L20" s="183">
        <v>0</v>
      </c>
      <c r="M20" s="173">
        <v>0</v>
      </c>
      <c r="N20" s="174">
        <v>16065</v>
      </c>
      <c r="O20" s="183">
        <v>3369</v>
      </c>
      <c r="P20" s="173">
        <v>165</v>
      </c>
      <c r="Q20" s="180">
        <f t="shared" si="3"/>
        <v>16163</v>
      </c>
      <c r="R20" s="180">
        <f t="shared" si="1"/>
        <v>3369</v>
      </c>
      <c r="S20" s="181">
        <f t="shared" si="1"/>
        <v>165</v>
      </c>
    </row>
    <row r="21" spans="1:19" ht="15">
      <c r="A21" s="138" t="s">
        <v>49</v>
      </c>
      <c r="B21" s="174">
        <v>0</v>
      </c>
      <c r="C21" s="172">
        <v>0</v>
      </c>
      <c r="D21" s="173">
        <v>0</v>
      </c>
      <c r="E21" s="174">
        <v>2038</v>
      </c>
      <c r="F21" s="172">
        <v>2222</v>
      </c>
      <c r="G21" s="173">
        <v>81</v>
      </c>
      <c r="H21" s="180">
        <f t="shared" si="2"/>
        <v>2038</v>
      </c>
      <c r="I21" s="180">
        <f t="shared" si="0"/>
        <v>2222</v>
      </c>
      <c r="J21" s="181">
        <f t="shared" si="0"/>
        <v>81</v>
      </c>
      <c r="K21" s="160">
        <v>0</v>
      </c>
      <c r="L21" s="183">
        <v>0</v>
      </c>
      <c r="M21" s="173">
        <v>0</v>
      </c>
      <c r="N21" s="174">
        <v>2038</v>
      </c>
      <c r="O21" s="183">
        <v>2222</v>
      </c>
      <c r="P21" s="173">
        <v>81</v>
      </c>
      <c r="Q21" s="180">
        <f t="shared" si="3"/>
        <v>2038</v>
      </c>
      <c r="R21" s="180">
        <f t="shared" si="1"/>
        <v>2222</v>
      </c>
      <c r="S21" s="181">
        <f t="shared" si="1"/>
        <v>81</v>
      </c>
    </row>
    <row r="22" spans="1:19" ht="15">
      <c r="A22" s="138" t="s">
        <v>50</v>
      </c>
      <c r="B22" s="174">
        <v>0</v>
      </c>
      <c r="C22" s="172">
        <v>0</v>
      </c>
      <c r="D22" s="173">
        <v>0</v>
      </c>
      <c r="E22" s="174">
        <v>9413</v>
      </c>
      <c r="F22" s="172">
        <v>1521</v>
      </c>
      <c r="G22" s="173">
        <v>0</v>
      </c>
      <c r="H22" s="180">
        <f t="shared" si="2"/>
        <v>9413</v>
      </c>
      <c r="I22" s="180">
        <f t="shared" si="0"/>
        <v>1521</v>
      </c>
      <c r="J22" s="181">
        <f t="shared" si="0"/>
        <v>0</v>
      </c>
      <c r="K22" s="160">
        <v>0</v>
      </c>
      <c r="L22" s="183">
        <v>0</v>
      </c>
      <c r="M22" s="173">
        <v>0</v>
      </c>
      <c r="N22" s="174">
        <v>9413</v>
      </c>
      <c r="O22" s="183">
        <v>1521</v>
      </c>
      <c r="P22" s="173">
        <v>0</v>
      </c>
      <c r="Q22" s="180">
        <f t="shared" si="3"/>
        <v>9413</v>
      </c>
      <c r="R22" s="180">
        <f t="shared" si="1"/>
        <v>1521</v>
      </c>
      <c r="S22" s="181">
        <f t="shared" si="1"/>
        <v>0</v>
      </c>
    </row>
    <row r="23" spans="1:19" ht="15">
      <c r="A23" s="138" t="s">
        <v>76</v>
      </c>
      <c r="B23" s="174">
        <v>297</v>
      </c>
      <c r="C23" s="172">
        <v>34</v>
      </c>
      <c r="D23" s="173">
        <v>6</v>
      </c>
      <c r="E23" s="174">
        <v>20499</v>
      </c>
      <c r="F23" s="172">
        <v>14393</v>
      </c>
      <c r="G23" s="173">
        <v>3495</v>
      </c>
      <c r="H23" s="180">
        <f t="shared" si="2"/>
        <v>20796</v>
      </c>
      <c r="I23" s="180">
        <f t="shared" si="0"/>
        <v>14427</v>
      </c>
      <c r="J23" s="181">
        <f t="shared" si="0"/>
        <v>3501</v>
      </c>
      <c r="K23" s="160">
        <v>366</v>
      </c>
      <c r="L23" s="183">
        <v>96</v>
      </c>
      <c r="M23" s="173">
        <v>5</v>
      </c>
      <c r="N23" s="174">
        <v>21092</v>
      </c>
      <c r="O23" s="183">
        <v>13085</v>
      </c>
      <c r="P23" s="173">
        <v>4584</v>
      </c>
      <c r="Q23" s="180">
        <f t="shared" si="3"/>
        <v>21458</v>
      </c>
      <c r="R23" s="180">
        <f t="shared" si="1"/>
        <v>13181</v>
      </c>
      <c r="S23" s="181">
        <f t="shared" si="1"/>
        <v>4589</v>
      </c>
    </row>
    <row r="24" spans="1:19" ht="15">
      <c r="A24" s="138" t="s">
        <v>59</v>
      </c>
      <c r="B24" s="174">
        <v>65</v>
      </c>
      <c r="C24" s="172">
        <v>45</v>
      </c>
      <c r="D24" s="173">
        <v>0</v>
      </c>
      <c r="E24" s="174">
        <v>440</v>
      </c>
      <c r="F24" s="172">
        <v>63</v>
      </c>
      <c r="G24" s="173">
        <v>7</v>
      </c>
      <c r="H24" s="180">
        <f t="shared" si="2"/>
        <v>505</v>
      </c>
      <c r="I24" s="180">
        <f t="shared" si="0"/>
        <v>108</v>
      </c>
      <c r="J24" s="181">
        <f t="shared" si="0"/>
        <v>7</v>
      </c>
      <c r="K24" s="160">
        <v>101</v>
      </c>
      <c r="L24" s="183">
        <v>40</v>
      </c>
      <c r="M24" s="173">
        <v>0</v>
      </c>
      <c r="N24" s="174">
        <v>367</v>
      </c>
      <c r="O24" s="183">
        <v>197</v>
      </c>
      <c r="P24" s="173">
        <v>10</v>
      </c>
      <c r="Q24" s="180">
        <f t="shared" si="3"/>
        <v>468</v>
      </c>
      <c r="R24" s="180">
        <f t="shared" si="1"/>
        <v>237</v>
      </c>
      <c r="S24" s="181">
        <f t="shared" si="1"/>
        <v>10</v>
      </c>
    </row>
    <row r="25" spans="1:19" ht="15">
      <c r="A25" s="138" t="s">
        <v>60</v>
      </c>
      <c r="B25" s="174">
        <v>0</v>
      </c>
      <c r="C25" s="172">
        <v>0</v>
      </c>
      <c r="D25" s="173">
        <v>0</v>
      </c>
      <c r="E25" s="174">
        <v>716</v>
      </c>
      <c r="F25" s="172">
        <v>9</v>
      </c>
      <c r="G25" s="173">
        <v>0</v>
      </c>
      <c r="H25" s="180">
        <f t="shared" si="2"/>
        <v>716</v>
      </c>
      <c r="I25" s="180">
        <f t="shared" si="2"/>
        <v>9</v>
      </c>
      <c r="J25" s="181">
        <f t="shared" si="2"/>
        <v>0</v>
      </c>
      <c r="K25" s="160">
        <v>0</v>
      </c>
      <c r="L25" s="183">
        <v>0</v>
      </c>
      <c r="M25" s="173">
        <v>0</v>
      </c>
      <c r="N25" s="174">
        <v>716</v>
      </c>
      <c r="O25" s="183">
        <v>9</v>
      </c>
      <c r="P25" s="173">
        <v>0</v>
      </c>
      <c r="Q25" s="180">
        <f t="shared" si="3"/>
        <v>716</v>
      </c>
      <c r="R25" s="180">
        <f t="shared" si="3"/>
        <v>9</v>
      </c>
      <c r="S25" s="181">
        <f t="shared" si="3"/>
        <v>0</v>
      </c>
    </row>
    <row r="26" spans="1:19" ht="15">
      <c r="A26" s="138" t="s">
        <v>31</v>
      </c>
      <c r="B26" s="174">
        <v>0</v>
      </c>
      <c r="C26" s="172">
        <v>0</v>
      </c>
      <c r="D26" s="173">
        <v>0</v>
      </c>
      <c r="E26" s="174">
        <v>214</v>
      </c>
      <c r="F26" s="172">
        <v>0</v>
      </c>
      <c r="G26" s="173">
        <v>0</v>
      </c>
      <c r="H26" s="180">
        <f t="shared" si="2"/>
        <v>214</v>
      </c>
      <c r="I26" s="180">
        <f t="shared" si="2"/>
        <v>0</v>
      </c>
      <c r="J26" s="181">
        <f t="shared" si="2"/>
        <v>0</v>
      </c>
      <c r="K26" s="160">
        <v>0</v>
      </c>
      <c r="L26" s="183">
        <v>0</v>
      </c>
      <c r="M26" s="173">
        <v>0</v>
      </c>
      <c r="N26" s="174">
        <v>214</v>
      </c>
      <c r="O26" s="183">
        <v>0</v>
      </c>
      <c r="P26" s="173">
        <v>0</v>
      </c>
      <c r="Q26" s="180">
        <f t="shared" si="3"/>
        <v>214</v>
      </c>
      <c r="R26" s="180">
        <f t="shared" si="3"/>
        <v>0</v>
      </c>
      <c r="S26" s="181">
        <f t="shared" si="3"/>
        <v>0</v>
      </c>
    </row>
    <row r="27" spans="1:19" ht="15">
      <c r="A27" s="138" t="s">
        <v>61</v>
      </c>
      <c r="B27" s="174">
        <v>455</v>
      </c>
      <c r="C27" s="172">
        <v>0</v>
      </c>
      <c r="D27" s="173">
        <v>0</v>
      </c>
      <c r="E27" s="174">
        <v>312</v>
      </c>
      <c r="F27" s="172">
        <v>0</v>
      </c>
      <c r="G27" s="173">
        <v>0</v>
      </c>
      <c r="H27" s="180">
        <f t="shared" si="2"/>
        <v>767</v>
      </c>
      <c r="I27" s="180">
        <f t="shared" si="2"/>
        <v>0</v>
      </c>
      <c r="J27" s="181">
        <f t="shared" si="2"/>
        <v>0</v>
      </c>
      <c r="K27" s="160">
        <v>455</v>
      </c>
      <c r="L27" s="183">
        <v>0</v>
      </c>
      <c r="M27" s="173">
        <v>0</v>
      </c>
      <c r="N27" s="174">
        <v>312</v>
      </c>
      <c r="O27" s="183">
        <v>0</v>
      </c>
      <c r="P27" s="173">
        <v>0</v>
      </c>
      <c r="Q27" s="180">
        <f t="shared" si="3"/>
        <v>767</v>
      </c>
      <c r="R27" s="180">
        <f t="shared" si="3"/>
        <v>0</v>
      </c>
      <c r="S27" s="181">
        <f t="shared" si="3"/>
        <v>0</v>
      </c>
    </row>
    <row r="28" spans="1:19" ht="15">
      <c r="A28" s="138" t="s">
        <v>72</v>
      </c>
      <c r="B28" s="174">
        <v>0</v>
      </c>
      <c r="C28" s="172">
        <v>0</v>
      </c>
      <c r="D28" s="173">
        <v>0</v>
      </c>
      <c r="E28" s="174">
        <v>3132</v>
      </c>
      <c r="F28" s="172">
        <v>1667</v>
      </c>
      <c r="G28" s="173">
        <v>312</v>
      </c>
      <c r="H28" s="180">
        <f t="shared" si="2"/>
        <v>3132</v>
      </c>
      <c r="I28" s="180">
        <f t="shared" si="2"/>
        <v>1667</v>
      </c>
      <c r="J28" s="181">
        <f t="shared" si="2"/>
        <v>312</v>
      </c>
      <c r="K28" s="160">
        <v>0</v>
      </c>
      <c r="L28" s="183">
        <v>0</v>
      </c>
      <c r="M28" s="173">
        <v>0</v>
      </c>
      <c r="N28" s="174">
        <v>2183</v>
      </c>
      <c r="O28" s="183">
        <v>1833</v>
      </c>
      <c r="P28" s="173">
        <v>91</v>
      </c>
      <c r="Q28" s="180">
        <f t="shared" si="3"/>
        <v>2183</v>
      </c>
      <c r="R28" s="180">
        <f t="shared" si="3"/>
        <v>1833</v>
      </c>
      <c r="S28" s="181">
        <f t="shared" si="3"/>
        <v>91</v>
      </c>
    </row>
    <row r="29" spans="1:19" ht="15">
      <c r="A29" s="138" t="s">
        <v>54</v>
      </c>
      <c r="B29" s="174">
        <v>0</v>
      </c>
      <c r="C29" s="172">
        <v>0</v>
      </c>
      <c r="D29" s="173">
        <v>0</v>
      </c>
      <c r="E29" s="174">
        <v>420</v>
      </c>
      <c r="F29" s="172">
        <v>880</v>
      </c>
      <c r="G29" s="173">
        <v>15</v>
      </c>
      <c r="H29" s="180">
        <f t="shared" si="2"/>
        <v>420</v>
      </c>
      <c r="I29" s="180">
        <f t="shared" si="2"/>
        <v>880</v>
      </c>
      <c r="J29" s="181">
        <f t="shared" si="2"/>
        <v>15</v>
      </c>
      <c r="K29" s="160"/>
      <c r="L29" s="172"/>
      <c r="M29" s="173"/>
      <c r="N29" s="174">
        <v>238</v>
      </c>
      <c r="O29" s="183">
        <v>880</v>
      </c>
      <c r="P29" s="173">
        <v>15</v>
      </c>
      <c r="Q29" s="180">
        <f t="shared" si="3"/>
        <v>238</v>
      </c>
      <c r="R29" s="180">
        <f t="shared" si="3"/>
        <v>880</v>
      </c>
      <c r="S29" s="181">
        <f t="shared" si="3"/>
        <v>15</v>
      </c>
    </row>
    <row r="30" spans="1:19" ht="15">
      <c r="A30" s="138" t="s">
        <v>32</v>
      </c>
      <c r="B30" s="174">
        <v>4</v>
      </c>
      <c r="C30" s="172">
        <v>0</v>
      </c>
      <c r="D30" s="173">
        <v>0</v>
      </c>
      <c r="E30" s="174">
        <v>5955</v>
      </c>
      <c r="F30" s="172">
        <v>4210</v>
      </c>
      <c r="G30" s="173">
        <v>1072</v>
      </c>
      <c r="H30" s="180">
        <f t="shared" si="2"/>
        <v>5959</v>
      </c>
      <c r="I30" s="180">
        <f t="shared" si="2"/>
        <v>4210</v>
      </c>
      <c r="J30" s="181">
        <f t="shared" si="2"/>
        <v>1072</v>
      </c>
      <c r="K30" s="160">
        <v>4</v>
      </c>
      <c r="L30" s="183">
        <v>0</v>
      </c>
      <c r="M30" s="173">
        <v>0</v>
      </c>
      <c r="N30" s="174">
        <v>5201</v>
      </c>
      <c r="O30" s="183">
        <v>4535</v>
      </c>
      <c r="P30" s="173">
        <v>1150</v>
      </c>
      <c r="Q30" s="180">
        <f t="shared" si="3"/>
        <v>5205</v>
      </c>
      <c r="R30" s="180">
        <f t="shared" si="3"/>
        <v>4535</v>
      </c>
      <c r="S30" s="181">
        <f t="shared" si="3"/>
        <v>1150</v>
      </c>
    </row>
    <row r="31" spans="1:19" ht="15">
      <c r="A31" s="138" t="s">
        <v>33</v>
      </c>
      <c r="B31" s="174">
        <v>0</v>
      </c>
      <c r="C31" s="172">
        <v>0</v>
      </c>
      <c r="D31" s="173">
        <v>0</v>
      </c>
      <c r="E31" s="174">
        <v>179</v>
      </c>
      <c r="F31" s="172">
        <v>0</v>
      </c>
      <c r="G31" s="173">
        <v>0</v>
      </c>
      <c r="H31" s="180">
        <f t="shared" si="2"/>
        <v>179</v>
      </c>
      <c r="I31" s="180">
        <f t="shared" si="2"/>
        <v>0</v>
      </c>
      <c r="J31" s="181">
        <f t="shared" si="2"/>
        <v>0</v>
      </c>
      <c r="K31" s="160">
        <v>0</v>
      </c>
      <c r="L31" s="183">
        <v>0</v>
      </c>
      <c r="M31" s="173">
        <v>0</v>
      </c>
      <c r="N31" s="174">
        <v>701</v>
      </c>
      <c r="O31" s="183">
        <v>0</v>
      </c>
      <c r="P31" s="173">
        <v>0</v>
      </c>
      <c r="Q31" s="180">
        <f t="shared" si="3"/>
        <v>701</v>
      </c>
      <c r="R31" s="180">
        <f t="shared" si="3"/>
        <v>0</v>
      </c>
      <c r="S31" s="181">
        <f t="shared" si="3"/>
        <v>0</v>
      </c>
    </row>
    <row r="32" spans="1:19" ht="15">
      <c r="A32" s="138" t="s">
        <v>34</v>
      </c>
      <c r="B32" s="174">
        <v>0</v>
      </c>
      <c r="C32" s="172">
        <v>0</v>
      </c>
      <c r="D32" s="173">
        <v>0</v>
      </c>
      <c r="E32" s="174">
        <v>577</v>
      </c>
      <c r="F32" s="172">
        <v>9710</v>
      </c>
      <c r="G32" s="173">
        <v>1307</v>
      </c>
      <c r="H32" s="180">
        <f t="shared" si="2"/>
        <v>577</v>
      </c>
      <c r="I32" s="180">
        <f t="shared" si="2"/>
        <v>9710</v>
      </c>
      <c r="J32" s="181">
        <f t="shared" si="2"/>
        <v>1307</v>
      </c>
      <c r="K32" s="160">
        <v>0</v>
      </c>
      <c r="L32" s="183">
        <v>0</v>
      </c>
      <c r="M32" s="173">
        <v>0</v>
      </c>
      <c r="N32" s="174">
        <v>460</v>
      </c>
      <c r="O32" s="183">
        <v>9853</v>
      </c>
      <c r="P32" s="173">
        <v>1439</v>
      </c>
      <c r="Q32" s="180">
        <f t="shared" si="3"/>
        <v>460</v>
      </c>
      <c r="R32" s="180">
        <f t="shared" si="3"/>
        <v>9853</v>
      </c>
      <c r="S32" s="181">
        <f t="shared" si="3"/>
        <v>1439</v>
      </c>
    </row>
    <row r="33" spans="1:19" ht="15">
      <c r="A33" s="138" t="s">
        <v>90</v>
      </c>
      <c r="B33" s="174">
        <v>266</v>
      </c>
      <c r="C33" s="172">
        <v>0</v>
      </c>
      <c r="D33" s="173">
        <v>0</v>
      </c>
      <c r="E33" s="174">
        <v>232</v>
      </c>
      <c r="F33" s="172">
        <v>2475</v>
      </c>
      <c r="G33" s="173">
        <v>412</v>
      </c>
      <c r="H33" s="180">
        <f t="shared" si="2"/>
        <v>498</v>
      </c>
      <c r="I33" s="180">
        <f t="shared" si="2"/>
        <v>2475</v>
      </c>
      <c r="J33" s="181">
        <f t="shared" si="2"/>
        <v>412</v>
      </c>
      <c r="K33" s="160">
        <v>0</v>
      </c>
      <c r="L33" s="183">
        <v>0</v>
      </c>
      <c r="M33" s="173">
        <v>0</v>
      </c>
      <c r="N33" s="174">
        <v>169</v>
      </c>
      <c r="O33" s="183">
        <v>2200</v>
      </c>
      <c r="P33" s="173">
        <v>375</v>
      </c>
      <c r="Q33" s="180">
        <f t="shared" si="3"/>
        <v>169</v>
      </c>
      <c r="R33" s="180">
        <f t="shared" si="3"/>
        <v>2200</v>
      </c>
      <c r="S33" s="181">
        <f t="shared" si="3"/>
        <v>375</v>
      </c>
    </row>
    <row r="34" spans="1:19" ht="15">
      <c r="A34" s="138" t="s">
        <v>62</v>
      </c>
      <c r="B34" s="174">
        <v>0</v>
      </c>
      <c r="C34" s="172">
        <v>0</v>
      </c>
      <c r="D34" s="173">
        <v>0</v>
      </c>
      <c r="E34" s="174">
        <v>689</v>
      </c>
      <c r="F34" s="172">
        <v>470</v>
      </c>
      <c r="G34" s="173">
        <v>219</v>
      </c>
      <c r="H34" s="180">
        <f t="shared" si="2"/>
        <v>689</v>
      </c>
      <c r="I34" s="180">
        <f t="shared" si="2"/>
        <v>470</v>
      </c>
      <c r="J34" s="181">
        <f t="shared" si="2"/>
        <v>219</v>
      </c>
      <c r="K34" s="160">
        <v>0</v>
      </c>
      <c r="L34" s="183">
        <v>0</v>
      </c>
      <c r="M34" s="173">
        <v>0</v>
      </c>
      <c r="N34" s="174">
        <v>689</v>
      </c>
      <c r="O34" s="183">
        <v>470</v>
      </c>
      <c r="P34" s="173">
        <v>219</v>
      </c>
      <c r="Q34" s="180">
        <f t="shared" si="3"/>
        <v>689</v>
      </c>
      <c r="R34" s="180">
        <f t="shared" si="3"/>
        <v>470</v>
      </c>
      <c r="S34" s="181">
        <f t="shared" si="3"/>
        <v>219</v>
      </c>
    </row>
    <row r="35" spans="1:19" ht="15">
      <c r="A35" s="138" t="s">
        <v>35</v>
      </c>
      <c r="B35" s="174">
        <v>13</v>
      </c>
      <c r="C35" s="172">
        <v>0</v>
      </c>
      <c r="D35" s="173">
        <v>0</v>
      </c>
      <c r="E35" s="174">
        <v>1697</v>
      </c>
      <c r="F35" s="172">
        <v>5670</v>
      </c>
      <c r="G35" s="173">
        <v>164</v>
      </c>
      <c r="H35" s="180">
        <f t="shared" si="2"/>
        <v>1710</v>
      </c>
      <c r="I35" s="180">
        <f t="shared" si="2"/>
        <v>5670</v>
      </c>
      <c r="J35" s="181">
        <f t="shared" si="2"/>
        <v>164</v>
      </c>
      <c r="K35" s="160">
        <v>11</v>
      </c>
      <c r="L35" s="183">
        <v>0</v>
      </c>
      <c r="M35" s="173">
        <v>0</v>
      </c>
      <c r="N35" s="174">
        <v>1537</v>
      </c>
      <c r="O35" s="183">
        <v>5772</v>
      </c>
      <c r="P35" s="173">
        <v>223</v>
      </c>
      <c r="Q35" s="180">
        <f t="shared" si="3"/>
        <v>1548</v>
      </c>
      <c r="R35" s="180">
        <f t="shared" si="3"/>
        <v>5772</v>
      </c>
      <c r="S35" s="181">
        <f t="shared" si="3"/>
        <v>223</v>
      </c>
    </row>
    <row r="36" spans="1:19" ht="15">
      <c r="A36" s="138" t="s">
        <v>57</v>
      </c>
      <c r="B36" s="174">
        <v>19</v>
      </c>
      <c r="C36" s="172">
        <v>0</v>
      </c>
      <c r="D36" s="173">
        <v>0</v>
      </c>
      <c r="E36" s="174">
        <v>3412</v>
      </c>
      <c r="F36" s="172">
        <v>323</v>
      </c>
      <c r="G36" s="173">
        <v>13</v>
      </c>
      <c r="H36" s="180">
        <f t="shared" si="2"/>
        <v>3431</v>
      </c>
      <c r="I36" s="180">
        <f t="shared" si="2"/>
        <v>323</v>
      </c>
      <c r="J36" s="181">
        <f t="shared" si="2"/>
        <v>13</v>
      </c>
      <c r="K36" s="160">
        <v>17</v>
      </c>
      <c r="L36" s="183">
        <v>0</v>
      </c>
      <c r="M36" s="173">
        <v>0</v>
      </c>
      <c r="N36" s="174">
        <v>3389</v>
      </c>
      <c r="O36" s="183">
        <v>299</v>
      </c>
      <c r="P36" s="173">
        <v>25</v>
      </c>
      <c r="Q36" s="180">
        <f t="shared" si="3"/>
        <v>3406</v>
      </c>
      <c r="R36" s="180">
        <f t="shared" si="3"/>
        <v>299</v>
      </c>
      <c r="S36" s="181">
        <f t="shared" si="3"/>
        <v>25</v>
      </c>
    </row>
    <row r="37" spans="1:19" ht="15">
      <c r="A37" s="138" t="s">
        <v>51</v>
      </c>
      <c r="B37" s="174">
        <v>0</v>
      </c>
      <c r="C37" s="172">
        <v>0</v>
      </c>
      <c r="D37" s="173">
        <v>0</v>
      </c>
      <c r="E37" s="174">
        <v>1865</v>
      </c>
      <c r="F37" s="172">
        <v>1987</v>
      </c>
      <c r="G37" s="173">
        <v>41</v>
      </c>
      <c r="H37" s="180">
        <f t="shared" si="2"/>
        <v>1865</v>
      </c>
      <c r="I37" s="180">
        <f t="shared" si="2"/>
        <v>1987</v>
      </c>
      <c r="J37" s="181">
        <f t="shared" si="2"/>
        <v>41</v>
      </c>
      <c r="K37" s="160">
        <v>0</v>
      </c>
      <c r="L37" s="183">
        <v>0</v>
      </c>
      <c r="M37" s="173">
        <v>0</v>
      </c>
      <c r="N37" s="174">
        <v>1741</v>
      </c>
      <c r="O37" s="183">
        <v>1915</v>
      </c>
      <c r="P37" s="173">
        <v>41</v>
      </c>
      <c r="Q37" s="180">
        <f t="shared" si="3"/>
        <v>1741</v>
      </c>
      <c r="R37" s="180">
        <f t="shared" si="3"/>
        <v>1915</v>
      </c>
      <c r="S37" s="181">
        <f t="shared" si="3"/>
        <v>41</v>
      </c>
    </row>
    <row r="38" spans="1:19" ht="15">
      <c r="A38" s="139"/>
      <c r="B38" s="174"/>
      <c r="C38" s="172"/>
      <c r="D38" s="173"/>
      <c r="E38" s="174"/>
      <c r="F38" s="172"/>
      <c r="G38" s="173"/>
      <c r="H38" s="180">
        <f t="shared" si="2"/>
        <v>0</v>
      </c>
      <c r="I38" s="180">
        <f t="shared" si="2"/>
        <v>0</v>
      </c>
      <c r="J38" s="181">
        <f t="shared" si="2"/>
        <v>0</v>
      </c>
      <c r="K38" s="160"/>
      <c r="L38" s="172"/>
      <c r="M38" s="173"/>
      <c r="N38" s="174"/>
      <c r="O38" s="172"/>
      <c r="P38" s="173"/>
      <c r="Q38" s="180">
        <f t="shared" si="3"/>
        <v>0</v>
      </c>
      <c r="R38" s="180">
        <f t="shared" si="3"/>
        <v>0</v>
      </c>
      <c r="S38" s="181">
        <f t="shared" si="3"/>
        <v>0</v>
      </c>
    </row>
    <row r="39" spans="1:19" ht="15">
      <c r="A39" s="136" t="s">
        <v>36</v>
      </c>
      <c r="B39" s="174"/>
      <c r="C39" s="172"/>
      <c r="D39" s="173"/>
      <c r="E39" s="174"/>
      <c r="F39" s="172"/>
      <c r="G39" s="173"/>
      <c r="H39" s="180">
        <f t="shared" si="2"/>
        <v>0</v>
      </c>
      <c r="I39" s="180">
        <f t="shared" si="2"/>
        <v>0</v>
      </c>
      <c r="J39" s="181">
        <f t="shared" si="2"/>
        <v>0</v>
      </c>
      <c r="K39" s="160"/>
      <c r="L39" s="172"/>
      <c r="M39" s="173"/>
      <c r="N39" s="174"/>
      <c r="O39" s="172"/>
      <c r="P39" s="173"/>
      <c r="Q39" s="180">
        <f t="shared" si="3"/>
        <v>0</v>
      </c>
      <c r="R39" s="180">
        <f t="shared" si="3"/>
        <v>0</v>
      </c>
      <c r="S39" s="181">
        <f t="shared" si="3"/>
        <v>0</v>
      </c>
    </row>
    <row r="40" spans="1:19" ht="15">
      <c r="A40" s="138" t="s">
        <v>37</v>
      </c>
      <c r="B40" s="174">
        <v>0</v>
      </c>
      <c r="C40" s="172">
        <v>0</v>
      </c>
      <c r="D40" s="173">
        <v>0</v>
      </c>
      <c r="E40" s="174">
        <v>279</v>
      </c>
      <c r="F40" s="172">
        <v>0</v>
      </c>
      <c r="G40" s="173">
        <v>0</v>
      </c>
      <c r="H40" s="180">
        <f t="shared" si="2"/>
        <v>279</v>
      </c>
      <c r="I40" s="180">
        <f t="shared" si="2"/>
        <v>0</v>
      </c>
      <c r="J40" s="181">
        <f t="shared" si="2"/>
        <v>0</v>
      </c>
      <c r="K40" s="160">
        <v>0</v>
      </c>
      <c r="L40" s="183">
        <v>0</v>
      </c>
      <c r="M40" s="173">
        <v>0</v>
      </c>
      <c r="N40" s="174">
        <v>279</v>
      </c>
      <c r="O40" s="183">
        <v>0</v>
      </c>
      <c r="P40" s="173">
        <v>0</v>
      </c>
      <c r="Q40" s="180">
        <f t="shared" si="3"/>
        <v>279</v>
      </c>
      <c r="R40" s="180">
        <f t="shared" si="3"/>
        <v>0</v>
      </c>
      <c r="S40" s="181">
        <f t="shared" si="3"/>
        <v>0</v>
      </c>
    </row>
    <row r="41" spans="1:19" ht="15">
      <c r="A41" s="138" t="s">
        <v>38</v>
      </c>
      <c r="B41" s="174">
        <v>0</v>
      </c>
      <c r="C41" s="172">
        <v>0</v>
      </c>
      <c r="D41" s="173">
        <v>0</v>
      </c>
      <c r="E41" s="174">
        <v>44</v>
      </c>
      <c r="F41" s="172">
        <v>52</v>
      </c>
      <c r="G41" s="173">
        <v>85</v>
      </c>
      <c r="H41" s="180">
        <f t="shared" si="2"/>
        <v>44</v>
      </c>
      <c r="I41" s="180">
        <f t="shared" si="2"/>
        <v>52</v>
      </c>
      <c r="J41" s="181">
        <f t="shared" si="2"/>
        <v>85</v>
      </c>
      <c r="K41" s="160">
        <v>0</v>
      </c>
      <c r="L41" s="183">
        <v>0</v>
      </c>
      <c r="M41" s="173">
        <v>0</v>
      </c>
      <c r="N41" s="174">
        <v>47</v>
      </c>
      <c r="O41" s="183">
        <v>52</v>
      </c>
      <c r="P41" s="173">
        <v>85</v>
      </c>
      <c r="Q41" s="180">
        <f t="shared" si="3"/>
        <v>47</v>
      </c>
      <c r="R41" s="180">
        <f t="shared" si="3"/>
        <v>52</v>
      </c>
      <c r="S41" s="181">
        <f t="shared" si="3"/>
        <v>85</v>
      </c>
    </row>
    <row r="42" spans="1:19" ht="15">
      <c r="A42" s="138" t="s">
        <v>39</v>
      </c>
      <c r="B42" s="174">
        <v>0</v>
      </c>
      <c r="C42" s="172">
        <v>0</v>
      </c>
      <c r="D42" s="173">
        <v>0</v>
      </c>
      <c r="E42" s="174">
        <v>0</v>
      </c>
      <c r="F42" s="172">
        <v>21</v>
      </c>
      <c r="G42" s="173">
        <v>21</v>
      </c>
      <c r="H42" s="180">
        <f t="shared" si="2"/>
        <v>0</v>
      </c>
      <c r="I42" s="180">
        <f t="shared" si="2"/>
        <v>21</v>
      </c>
      <c r="J42" s="181">
        <f t="shared" si="2"/>
        <v>21</v>
      </c>
      <c r="K42" s="160">
        <v>0</v>
      </c>
      <c r="L42" s="183">
        <v>0</v>
      </c>
      <c r="M42" s="173">
        <v>0</v>
      </c>
      <c r="N42" s="174">
        <v>0</v>
      </c>
      <c r="O42" s="183">
        <v>21</v>
      </c>
      <c r="P42" s="173">
        <v>21</v>
      </c>
      <c r="Q42" s="180">
        <f t="shared" si="3"/>
        <v>0</v>
      </c>
      <c r="R42" s="180">
        <f t="shared" si="3"/>
        <v>21</v>
      </c>
      <c r="S42" s="181">
        <f t="shared" si="3"/>
        <v>21</v>
      </c>
    </row>
    <row r="43" spans="1:19" ht="15">
      <c r="A43" s="138" t="s">
        <v>40</v>
      </c>
      <c r="B43" s="174"/>
      <c r="C43" s="172"/>
      <c r="D43" s="173"/>
      <c r="E43" s="174"/>
      <c r="F43" s="172"/>
      <c r="G43" s="173"/>
      <c r="H43" s="180">
        <f t="shared" si="2"/>
        <v>0</v>
      </c>
      <c r="I43" s="180">
        <f t="shared" si="2"/>
        <v>0</v>
      </c>
      <c r="J43" s="181">
        <f t="shared" si="2"/>
        <v>0</v>
      </c>
      <c r="K43" s="160"/>
      <c r="L43" s="172"/>
      <c r="M43" s="173"/>
      <c r="N43" s="174"/>
      <c r="O43" s="172"/>
      <c r="P43" s="173"/>
      <c r="Q43" s="180">
        <f t="shared" si="3"/>
        <v>0</v>
      </c>
      <c r="R43" s="180">
        <f t="shared" si="3"/>
        <v>0</v>
      </c>
      <c r="S43" s="181">
        <f t="shared" si="3"/>
        <v>0</v>
      </c>
    </row>
    <row r="44" spans="1:19" ht="15">
      <c r="A44" s="138" t="s">
        <v>41</v>
      </c>
      <c r="B44" s="174"/>
      <c r="C44" s="172"/>
      <c r="D44" s="173"/>
      <c r="E44" s="174"/>
      <c r="F44" s="172"/>
      <c r="G44" s="173"/>
      <c r="H44" s="180">
        <f t="shared" si="2"/>
        <v>0</v>
      </c>
      <c r="I44" s="180">
        <f t="shared" si="2"/>
        <v>0</v>
      </c>
      <c r="J44" s="181">
        <f t="shared" si="2"/>
        <v>0</v>
      </c>
      <c r="K44" s="160"/>
      <c r="L44" s="172"/>
      <c r="M44" s="173"/>
      <c r="N44" s="174"/>
      <c r="O44" s="172"/>
      <c r="P44" s="173"/>
      <c r="Q44" s="180">
        <f t="shared" si="3"/>
        <v>0</v>
      </c>
      <c r="R44" s="180">
        <f t="shared" si="3"/>
        <v>0</v>
      </c>
      <c r="S44" s="181">
        <f t="shared" si="3"/>
        <v>0</v>
      </c>
    </row>
    <row r="45" spans="1:19" ht="15">
      <c r="A45" s="138" t="s">
        <v>42</v>
      </c>
      <c r="B45" s="174"/>
      <c r="C45" s="172"/>
      <c r="D45" s="173"/>
      <c r="E45" s="174"/>
      <c r="F45" s="172"/>
      <c r="G45" s="173"/>
      <c r="H45" s="180">
        <f t="shared" si="2"/>
        <v>0</v>
      </c>
      <c r="I45" s="180">
        <f t="shared" si="2"/>
        <v>0</v>
      </c>
      <c r="J45" s="181">
        <f t="shared" si="2"/>
        <v>0</v>
      </c>
      <c r="K45" s="160"/>
      <c r="L45" s="172"/>
      <c r="M45" s="173"/>
      <c r="N45" s="174"/>
      <c r="O45" s="172"/>
      <c r="P45" s="173"/>
      <c r="Q45" s="180">
        <f t="shared" si="3"/>
        <v>0</v>
      </c>
      <c r="R45" s="180">
        <f t="shared" si="3"/>
        <v>0</v>
      </c>
      <c r="S45" s="181">
        <f t="shared" si="3"/>
        <v>0</v>
      </c>
    </row>
    <row r="46" spans="1:19" ht="15">
      <c r="A46" s="138" t="s">
        <v>58</v>
      </c>
      <c r="B46" s="174">
        <v>0</v>
      </c>
      <c r="C46" s="172">
        <v>0</v>
      </c>
      <c r="D46" s="173">
        <v>0</v>
      </c>
      <c r="E46" s="174">
        <v>3</v>
      </c>
      <c r="F46" s="172">
        <v>28</v>
      </c>
      <c r="G46" s="173">
        <v>9</v>
      </c>
      <c r="H46" s="180">
        <f t="shared" si="2"/>
        <v>3</v>
      </c>
      <c r="I46" s="180">
        <f t="shared" si="2"/>
        <v>28</v>
      </c>
      <c r="J46" s="181">
        <f t="shared" si="2"/>
        <v>9</v>
      </c>
      <c r="K46" s="160">
        <v>0</v>
      </c>
      <c r="L46" s="172">
        <v>0</v>
      </c>
      <c r="M46" s="173">
        <v>0</v>
      </c>
      <c r="N46" s="174">
        <v>39</v>
      </c>
      <c r="O46" s="183">
        <v>31</v>
      </c>
      <c r="P46" s="173">
        <v>19</v>
      </c>
      <c r="Q46" s="180">
        <f t="shared" si="3"/>
        <v>39</v>
      </c>
      <c r="R46" s="180">
        <f t="shared" si="3"/>
        <v>31</v>
      </c>
      <c r="S46" s="181">
        <f t="shared" si="3"/>
        <v>19</v>
      </c>
    </row>
    <row r="47" spans="1:19" ht="19.5" thickBot="1">
      <c r="A47" s="184" t="s">
        <v>105</v>
      </c>
      <c r="B47" s="187">
        <f t="shared" ref="B47:G47" si="4">SUM(B9:B46)</f>
        <v>1583</v>
      </c>
      <c r="C47" s="185">
        <f t="shared" si="4"/>
        <v>114</v>
      </c>
      <c r="D47" s="186">
        <f t="shared" si="4"/>
        <v>6</v>
      </c>
      <c r="E47" s="187">
        <f t="shared" si="4"/>
        <v>86876</v>
      </c>
      <c r="F47" s="185">
        <f t="shared" si="4"/>
        <v>70984</v>
      </c>
      <c r="G47" s="186">
        <f t="shared" si="4"/>
        <v>9390</v>
      </c>
      <c r="H47" s="185">
        <f t="shared" si="2"/>
        <v>88459</v>
      </c>
      <c r="I47" s="185">
        <f t="shared" si="2"/>
        <v>71098</v>
      </c>
      <c r="J47" s="188">
        <f t="shared" si="2"/>
        <v>9396</v>
      </c>
      <c r="K47" s="189">
        <f t="shared" ref="K47:P47" si="5">SUM(K9:K46)</f>
        <v>1375</v>
      </c>
      <c r="L47" s="185">
        <f t="shared" si="5"/>
        <v>171</v>
      </c>
      <c r="M47" s="186">
        <f t="shared" si="5"/>
        <v>5</v>
      </c>
      <c r="N47" s="187">
        <f t="shared" si="5"/>
        <v>83726</v>
      </c>
      <c r="O47" s="185">
        <f t="shared" si="5"/>
        <v>69685</v>
      </c>
      <c r="P47" s="186">
        <f t="shared" si="5"/>
        <v>10310</v>
      </c>
      <c r="Q47" s="187">
        <f t="shared" si="3"/>
        <v>85101</v>
      </c>
      <c r="R47" s="185">
        <f t="shared" si="3"/>
        <v>69856</v>
      </c>
      <c r="S47" s="188">
        <f t="shared" si="3"/>
        <v>10315</v>
      </c>
    </row>
  </sheetData>
  <mergeCells count="1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A4:S4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 21.4 All india</vt:lpstr>
      <vt:lpstr>T 21.4 state-wise</vt:lpstr>
      <vt:lpstr>Working sheet</vt:lpstr>
      <vt:lpstr>'T 21.4 All india'!Print_Area</vt:lpstr>
      <vt:lpstr>'T 21.4 state-wise'!Print_Area</vt:lpstr>
      <vt:lpstr>'T 21.4 All india'!Print_Area_MI</vt:lpstr>
      <vt:lpstr>'T 21.4 state-wise'!Print_Area_MI</vt:lpstr>
      <vt:lpstr>'T 21.4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ADMIN</cp:lastModifiedBy>
  <cp:lastPrinted>2017-03-22T10:12:31Z</cp:lastPrinted>
  <dcterms:created xsi:type="dcterms:W3CDTF">2001-02-15T08:31:43Z</dcterms:created>
  <dcterms:modified xsi:type="dcterms:W3CDTF">2017-03-22T10:13:29Z</dcterms:modified>
</cp:coreProperties>
</file>